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C:\Users\user\Desktop\ליאת - הרצאות\המכללה לתכנון פרישה ולפיננסים\קורס אינטרנטי - תכנון פרישה\שיעורי תרגול - קורס אינטרנטי\תרגילים מסכמים - מיסוי ופנסיוני\תרגיל רונן אופיר\"/>
    </mc:Choice>
  </mc:AlternateContent>
  <xr:revisionPtr revIDLastSave="0" documentId="13_ncr:1_{5493D57C-320C-4F94-B9D7-5EB58E9EFD9E}" xr6:coauthVersionLast="46" xr6:coauthVersionMax="46" xr10:uidLastSave="{00000000-0000-0000-0000-000000000000}"/>
  <bookViews>
    <workbookView xWindow="-108" yWindow="-108" windowWidth="23256" windowHeight="12576" tabRatio="717" xr2:uid="{00000000-000D-0000-FFFF-FFFF00000000}"/>
  </bookViews>
  <sheets>
    <sheet name="נתוני מסלקה פנסיונית" sheetId="1" r:id="rId1"/>
    <sheet name="מכתב למס הכנסה" sheetId="2" r:id="rId2"/>
    <sheet name="נתונים נוספים" sheetId="3" r:id="rId3"/>
    <sheet name="מסמכים הייטק בע&quot;מ" sheetId="4" r:id="rId4"/>
    <sheet name="161 צהל" sheetId="5" r:id="rId5"/>
    <sheet name="תלוש קצבה מצהל" sheetId="7" r:id="rId6"/>
    <sheet name="מכתב היוון ממופת" sheetId="6" r:id="rId7"/>
    <sheet name="אישור מס הכנסה קיבוע" sheetId="9" r:id="rId8"/>
  </sheets>
  <calcPr calcId="181029"/>
</workbook>
</file>

<file path=xl/calcChain.xml><?xml version="1.0" encoding="utf-8"?>
<calcChain xmlns="http://schemas.openxmlformats.org/spreadsheetml/2006/main">
  <c r="I19" i="3" l="1"/>
  <c r="L22" i="3"/>
  <c r="G22" i="3"/>
  <c r="G19" i="3"/>
  <c r="G16" i="3"/>
  <c r="N4" i="3"/>
  <c r="N8" i="3" s="1"/>
  <c r="N6" i="3"/>
  <c r="Q8" i="3"/>
  <c r="Q7" i="3"/>
  <c r="Z28" i="9"/>
  <c r="D24" i="2"/>
  <c r="D41" i="2"/>
  <c r="E35" i="2"/>
  <c r="M30" i="2"/>
  <c r="M29" i="2"/>
  <c r="D39" i="2"/>
  <c r="S4" i="1"/>
  <c r="F19" i="3"/>
  <c r="R4" i="1"/>
  <c r="E22" i="2"/>
  <c r="D22" i="2"/>
  <c r="D42" i="2" l="1"/>
  <c r="D44" i="2" s="1"/>
  <c r="D45" i="2" s="1"/>
  <c r="D47" i="2" s="1"/>
  <c r="Q4" i="1"/>
  <c r="O8" i="1"/>
  <c r="J8" i="1"/>
  <c r="K7" i="1"/>
  <c r="K8" i="1" s="1"/>
  <c r="M6" i="1"/>
  <c r="N5" i="1"/>
  <c r="N8" i="1" s="1"/>
  <c r="L4" i="1"/>
  <c r="L8" i="1" s="1"/>
  <c r="M4" i="1" l="1"/>
  <c r="M8" i="1" s="1"/>
</calcChain>
</file>

<file path=xl/sharedStrings.xml><?xml version="1.0" encoding="utf-8"?>
<sst xmlns="http://schemas.openxmlformats.org/spreadsheetml/2006/main" count="124" uniqueCount="107">
  <si>
    <t>מספר פוליסה</t>
  </si>
  <si>
    <t>שם יצרן</t>
  </si>
  <si>
    <t>שם מעסיק</t>
  </si>
  <si>
    <t>תאריך הצטרפות</t>
  </si>
  <si>
    <t>סוג פוליסה</t>
  </si>
  <si>
    <t>סוג מוצר פנסיוני</t>
  </si>
  <si>
    <t>סוג תוכנית/חשבון</t>
  </si>
  <si>
    <t>סטטוס</t>
  </si>
  <si>
    <t>סה"כ הפרשות</t>
  </si>
  <si>
    <t>סה"כ ערכי פדיון</t>
  </si>
  <si>
    <t>הפניקס חברה לביטוח בע"מ</t>
  </si>
  <si>
    <t>01/04/1995</t>
  </si>
  <si>
    <t>חיים</t>
  </si>
  <si>
    <t>פוליסת חיסכון טהור</t>
  </si>
  <si>
    <t>שכיר</t>
  </si>
  <si>
    <t>בתוקף</t>
  </si>
  <si>
    <t>מגדל מקפת קרנות פנסיה וקופות גמל בע"מ</t>
  </si>
  <si>
    <t>01/04/2005</t>
  </si>
  <si>
    <t>שוק ההון</t>
  </si>
  <si>
    <t>קופת גמל</t>
  </si>
  <si>
    <t>מוקפאת</t>
  </si>
  <si>
    <t>01/02/2017</t>
  </si>
  <si>
    <t>ילין לפידות ניהול קופות גמל בע"מ</t>
  </si>
  <si>
    <t>18/08/2019</t>
  </si>
  <si>
    <t>קרן השתלמות</t>
  </si>
  <si>
    <t>סה"כ</t>
  </si>
  <si>
    <t>קצבה צפויה</t>
  </si>
  <si>
    <t>ברוטו</t>
  </si>
  <si>
    <t>הייטק בע"מ</t>
  </si>
  <si>
    <t>תגמולי הון</t>
  </si>
  <si>
    <t>תגמולי טרום חוק ההסדרים</t>
  </si>
  <si>
    <t>תגמולי קצבה</t>
  </si>
  <si>
    <t>פייצוים קוד 4</t>
  </si>
  <si>
    <t>פייצוים קוד 6</t>
  </si>
  <si>
    <t>שקופית 14 במצגת</t>
  </si>
  <si>
    <t>שקופית 28 במצגת</t>
  </si>
  <si>
    <t>לכבוד :</t>
  </si>
  <si>
    <t>להלן פרטים לגבי המעסיקים מהם קיבל מענקים פטורים ב- 32 שנות עבודה שקדמו לגיל הזכאות:</t>
  </si>
  <si>
    <t>שם המעסיק</t>
  </si>
  <si>
    <t>תיק ניכויים</t>
  </si>
  <si>
    <t>תקופת עבודה</t>
  </si>
  <si>
    <t>מענקים פטורים בש"ח</t>
  </si>
  <si>
    <t>הערות</t>
  </si>
  <si>
    <t>צה"ל</t>
  </si>
  <si>
    <t>הערות:</t>
  </si>
  <si>
    <t>להלן חישוב הפגיעה בהון הפטור בעקבות היוון מצה"ל - פורש לפי תקנות 1970 - לפי ההנחייה החדשה לפקידי השומה:</t>
  </si>
  <si>
    <t>הצמדה מיום ההיוון עד ליום 1 בינואר בשנה שהגיע ל"גיל הזכאות"</t>
  </si>
  <si>
    <t>"התקופה החופפת" - סה"כ 3 שנים.</t>
  </si>
  <si>
    <t xml:space="preserve">להלן חישוב יתרת ההון הפטורה לקצבה : </t>
  </si>
  <si>
    <r>
      <t xml:space="preserve">סכום ההון הפטור - </t>
    </r>
    <r>
      <rPr>
        <sz val="11"/>
        <color rgb="FFFF0000"/>
        <rFont val="Arial"/>
        <family val="2"/>
        <scheme val="minor"/>
      </rPr>
      <t>לפי נתוני 2020</t>
    </r>
  </si>
  <si>
    <t>היוונים פטורים שבוצעו לפני תיקון 190</t>
  </si>
  <si>
    <r>
      <t xml:space="preserve">יתרת ההון הפטורה </t>
    </r>
    <r>
      <rPr>
        <sz val="8"/>
        <color theme="1"/>
        <rFont val="Arial"/>
        <family val="2"/>
        <scheme val="minor"/>
      </rPr>
      <t>(שורה 1 פחות שורה 2 פחות שורה 3)</t>
    </r>
  </si>
  <si>
    <t>סכום ההיוון הפטור של הקצבה כמבוקש על ידך</t>
  </si>
  <si>
    <r>
      <t xml:space="preserve">יתרת ההון הפטורה לקצבה </t>
    </r>
    <r>
      <rPr>
        <sz val="8"/>
        <color theme="1"/>
        <rFont val="Arial"/>
        <family val="2"/>
        <scheme val="minor"/>
      </rPr>
      <t>(שורה 4 פחות שורה 5)</t>
    </r>
  </si>
  <si>
    <t>סכום הקצבה הפטור לחודש</t>
  </si>
  <si>
    <t>תקרת הקצבה המזכה</t>
  </si>
  <si>
    <r>
      <t xml:space="preserve">שיעור הפטור מתקרת הקצבה המזכה </t>
    </r>
    <r>
      <rPr>
        <sz val="8"/>
        <color theme="1"/>
        <rFont val="Arial"/>
        <family val="2"/>
        <scheme val="minor"/>
      </rPr>
      <t>(שורה 7 מחולקת בשורה 8)</t>
    </r>
  </si>
  <si>
    <t>מצ"ב טופס 161ד.</t>
  </si>
  <si>
    <t xml:space="preserve">אבקש : </t>
  </si>
  <si>
    <t>בברכה,</t>
  </si>
  <si>
    <t>ליאת ארמי יועצת מס</t>
  </si>
  <si>
    <t>פקיד שומה______</t>
  </si>
  <si>
    <t>הנדון : מר – ת.ז *******</t>
  </si>
  <si>
    <t>16.3.2021</t>
  </si>
  <si>
    <t>הנ"ל מקבל פנסיה מצה"ל החל מתאריך ______.</t>
  </si>
  <si>
    <t>תאום מס לשנת 2021 בהתאם לאחוז הפטור החדש. מצ"ב טופס 116.</t>
  </si>
  <si>
    <t>נתונים נוספים:</t>
  </si>
  <si>
    <t>רונן אופיר</t>
  </si>
  <si>
    <r>
      <t xml:space="preserve">רונן היוון בעבר עד גיל 70, </t>
    </r>
    <r>
      <rPr>
        <u/>
        <sz val="11"/>
        <color theme="1"/>
        <rFont val="Arial"/>
        <family val="2"/>
        <scheme val="minor"/>
      </rPr>
      <t>מצ"ב</t>
    </r>
    <r>
      <rPr>
        <sz val="11"/>
        <color indexed="8"/>
        <rFont val="Arial"/>
      </rPr>
      <t xml:space="preserve"> מכתב ממופת בנוגע להיוון.</t>
    </r>
  </si>
  <si>
    <t>רונן פורש כוחות הבטחון לשעבר ומקבל פנסיה תקציבית בסך של 6,500 ₪ ברוטו.</t>
  </si>
  <si>
    <t>רונן יליד 25.4.1953.</t>
  </si>
  <si>
    <t>עובד בהיי טק בעמ</t>
  </si>
  <si>
    <t>מטרת יעד</t>
  </si>
  <si>
    <t>מקדם לגיל 68</t>
  </si>
  <si>
    <t>תלוש מתש</t>
  </si>
  <si>
    <t>אזרח ותיק</t>
  </si>
  <si>
    <t>קצבה מהפניקס</t>
  </si>
  <si>
    <t>קצבה צפויה ללא תגמולי טרום</t>
  </si>
  <si>
    <t>לפטור</t>
  </si>
  <si>
    <t xml:space="preserve">פיצויים </t>
  </si>
  <si>
    <t>תגמולים</t>
  </si>
  <si>
    <t>28.2.1995-23.4.2021</t>
  </si>
  <si>
    <r>
      <t xml:space="preserve">תאריך הלידה של מר25/04/53, </t>
    </r>
    <r>
      <rPr>
        <b/>
        <sz val="11"/>
        <color theme="1"/>
        <rFont val="Arial"/>
        <family val="2"/>
        <scheme val="minor"/>
      </rPr>
      <t>תאריך "גיל הזכאות" -01/04/2020</t>
    </r>
  </si>
  <si>
    <r>
      <t xml:space="preserve">שנות עבודה שקדמו לתאריך </t>
    </r>
    <r>
      <rPr>
        <u/>
        <sz val="11"/>
        <color theme="1"/>
        <rFont val="Arial"/>
        <family val="2"/>
        <scheme val="minor"/>
      </rPr>
      <t>גיל הזכאות</t>
    </r>
  </si>
  <si>
    <t>9.8.1975-29.6.1994</t>
  </si>
  <si>
    <t>מר אופיר פרש מצה"ל בתאריך 1.7.1994 והיוון עד גיל 70.</t>
  </si>
  <si>
    <t>גיל הפרישה/זכאות בתאריך 1.4.2020, הגעה לגיל 70 - 1.4.2023</t>
  </si>
  <si>
    <t>סכום ההיוון הנומינלי - 136,248 ₪</t>
  </si>
  <si>
    <t xml:space="preserve">סכום ההיוון מוצמד למדד המחירים לצרכן - 277,278 ₪ </t>
  </si>
  <si>
    <r>
      <t xml:space="preserve">"תקופת ההיוון" - סה"כ </t>
    </r>
    <r>
      <rPr>
        <u/>
        <sz val="16"/>
        <color indexed="8"/>
        <rFont val="Arial"/>
        <family val="2"/>
      </rPr>
      <t>28.77</t>
    </r>
    <r>
      <rPr>
        <sz val="16"/>
        <color indexed="8"/>
        <rFont val="Arial"/>
        <family val="2"/>
      </rPr>
      <t xml:space="preserve"> שנים, מתאריך 1.7.1994 עד תאריך 1.4.2023</t>
    </r>
  </si>
  <si>
    <t>סכום הפגיעה בהון הפטור -277,278*3/28.77=</t>
  </si>
  <si>
    <t>השלמה</t>
  </si>
  <si>
    <t>50,000+25,485*6.894/18.89*1.35=</t>
  </si>
  <si>
    <t>הצמדה מיום הפרישה/עזיבת עבודה ועד ליום 1.1. בשנה שהגיע לגיל הזכאות</t>
  </si>
  <si>
    <t>סה"כ מענקי פרישה למשיכה</t>
  </si>
  <si>
    <t>שריון פטור עד גיל הזכאות</t>
  </si>
  <si>
    <t>פטור מגיל הזכאות עד עזיבת העבודה</t>
  </si>
  <si>
    <t>גיל זכאות</t>
  </si>
  <si>
    <t>עזיבת עבודה</t>
  </si>
  <si>
    <t>מענק פרישה חייב במס</t>
  </si>
  <si>
    <t>הכנסה חייבת</t>
  </si>
  <si>
    <t>נטו</t>
  </si>
  <si>
    <t>בניכוי מס בריאות</t>
  </si>
  <si>
    <t>מס לתשלום</t>
  </si>
  <si>
    <t>הכנסה פטורה</t>
  </si>
  <si>
    <r>
      <t xml:space="preserve">סכום הקטנת ההון הפטור עקב קבלת "המענקים הפטורים" - </t>
    </r>
    <r>
      <rPr>
        <sz val="11"/>
        <color rgb="FFFF0000"/>
        <rFont val="Arial"/>
        <family val="2"/>
      </rPr>
      <t>עם הצמדה (ראו חישוב באישור מס הכנסה)</t>
    </r>
  </si>
  <si>
    <t>שריון עתידי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</si>
</sst>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 * #,##0_ ;_ * \-#,##0_ ;_ * &quot;-&quot;??_ ;_ @_ "/>
    <numFmt numFmtId="169" formatCode="0.000"/>
  </numFmts>
  <fonts count="20" x14ac:knownFonts="1">
    <font>
      <sz val="11"/>
      <color indexed="8"/>
      <name val="Arial"/>
    </font>
    <font>
      <sz val="11"/>
      <color indexed="8"/>
      <name val="Arial"/>
      <family val="2"/>
    </font>
    <font>
      <sz val="11"/>
      <color indexed="8"/>
      <name val="Arial"/>
    </font>
    <font>
      <b/>
      <sz val="11"/>
      <color rgb="FFFF0000"/>
      <name val="Arial"/>
      <family val="2"/>
      <scheme val="minor"/>
    </font>
    <font>
      <b/>
      <u/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1"/>
      <color theme="1"/>
      <name val="Arial"/>
      <family val="2"/>
      <scheme val="minor"/>
    </font>
    <font>
      <b/>
      <u/>
      <sz val="12"/>
      <color theme="1"/>
      <name val="Arial"/>
      <family val="2"/>
      <scheme val="minor"/>
    </font>
    <font>
      <u/>
      <sz val="11"/>
      <color theme="1"/>
      <name val="Arial"/>
      <family val="2"/>
      <scheme val="minor"/>
    </font>
    <font>
      <sz val="11"/>
      <color rgb="FFFF0000"/>
      <name val="Arial"/>
      <family val="2"/>
      <scheme val="minor"/>
    </font>
    <font>
      <sz val="8"/>
      <color theme="1"/>
      <name val="Arial"/>
      <family val="2"/>
      <scheme val="minor"/>
    </font>
    <font>
      <u/>
      <sz val="11"/>
      <color indexed="8"/>
      <name val="Arial"/>
      <family val="2"/>
    </font>
    <font>
      <u/>
      <sz val="11"/>
      <color theme="1"/>
      <name val="Arial"/>
      <family val="2"/>
      <charset val="177"/>
      <scheme val="minor"/>
    </font>
    <font>
      <u/>
      <sz val="16"/>
      <color theme="1"/>
      <name val="Arial"/>
      <family val="2"/>
      <scheme val="minor"/>
    </font>
    <font>
      <sz val="16"/>
      <color indexed="8"/>
      <name val="Arial"/>
      <family val="2"/>
    </font>
    <font>
      <sz val="16"/>
      <color rgb="FFFF0000"/>
      <name val="Arial"/>
      <family val="2"/>
      <scheme val="minor"/>
    </font>
    <font>
      <b/>
      <sz val="16"/>
      <color theme="1"/>
      <name val="Arial"/>
      <family val="2"/>
      <scheme val="minor"/>
    </font>
    <font>
      <u/>
      <sz val="16"/>
      <color indexed="8"/>
      <name val="Arial"/>
      <family val="2"/>
    </font>
    <font>
      <sz val="11"/>
      <color rgb="FFFF0000"/>
      <name val="Arial"/>
      <family val="2"/>
    </font>
    <font>
      <b/>
      <sz val="11"/>
      <color theme="4" tint="-0.249977111117893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">
    <xf numFmtId="0" fontId="0" fillId="0" borderId="0" applyFill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74">
    <xf numFmtId="0" fontId="0" fillId="0" borderId="0" xfId="0" applyFill="1" applyProtection="1"/>
    <xf numFmtId="0" fontId="1" fillId="0" borderId="0" xfId="0" applyFont="1" applyFill="1" applyProtection="1"/>
    <xf numFmtId="0" fontId="0" fillId="0" borderId="1" xfId="0" applyFill="1" applyBorder="1" applyProtection="1"/>
    <xf numFmtId="0" fontId="1" fillId="2" borderId="1" xfId="0" applyFont="1" applyFill="1" applyBorder="1" applyProtection="1"/>
    <xf numFmtId="0" fontId="0" fillId="2" borderId="1" xfId="0" applyFill="1" applyBorder="1" applyProtection="1"/>
    <xf numFmtId="3" fontId="0" fillId="0" borderId="1" xfId="0" applyNumberFormat="1" applyFill="1" applyBorder="1" applyProtection="1"/>
    <xf numFmtId="3" fontId="0" fillId="2" borderId="1" xfId="0" applyNumberFormat="1" applyFill="1" applyBorder="1" applyProtection="1"/>
    <xf numFmtId="0" fontId="0" fillId="2" borderId="1" xfId="0" applyFill="1" applyBorder="1" applyAlignment="1" applyProtection="1">
      <alignment wrapText="1"/>
    </xf>
    <xf numFmtId="0" fontId="1" fillId="2" borderId="1" xfId="0" applyFont="1" applyFill="1" applyBorder="1" applyAlignment="1" applyProtection="1">
      <alignment wrapText="1"/>
    </xf>
    <xf numFmtId="0" fontId="0" fillId="0" borderId="0" xfId="0" applyFill="1" applyAlignment="1" applyProtection="1">
      <alignment wrapText="1"/>
    </xf>
    <xf numFmtId="0" fontId="0" fillId="0" borderId="0" xfId="0"/>
    <xf numFmtId="0" fontId="3" fillId="0" borderId="0" xfId="0" applyFont="1"/>
    <xf numFmtId="14" fontId="0" fillId="0" borderId="0" xfId="0" applyNumberForma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6" fillId="0" borderId="1" xfId="0" applyFont="1" applyBorder="1"/>
    <xf numFmtId="0" fontId="6" fillId="0" borderId="1" xfId="0" applyFont="1" applyBorder="1" applyAlignment="1">
      <alignment horizontal="right" wrapText="1"/>
    </xf>
    <xf numFmtId="0" fontId="6" fillId="0" borderId="2" xfId="0" applyFont="1" applyBorder="1" applyAlignment="1">
      <alignment wrapText="1"/>
    </xf>
    <xf numFmtId="0" fontId="6" fillId="0" borderId="1" xfId="0" applyFont="1" applyBorder="1" applyAlignment="1">
      <alignment horizontal="right" wrapText="1" readingOrder="2"/>
    </xf>
    <xf numFmtId="0" fontId="5" fillId="0" borderId="1" xfId="0" applyFont="1" applyBorder="1"/>
    <xf numFmtId="0" fontId="0" fillId="0" borderId="1" xfId="0" applyBorder="1"/>
    <xf numFmtId="164" fontId="0" fillId="0" borderId="2" xfId="1" applyNumberFormat="1" applyFont="1" applyBorder="1"/>
    <xf numFmtId="164" fontId="0" fillId="0" borderId="1" xfId="1" applyNumberFormat="1" applyFont="1" applyBorder="1"/>
    <xf numFmtId="0" fontId="6" fillId="0" borderId="1" xfId="0" applyFont="1" applyBorder="1" applyAlignment="1">
      <alignment horizontal="left"/>
    </xf>
    <xf numFmtId="0" fontId="6" fillId="0" borderId="3" xfId="0" applyFont="1" applyBorder="1"/>
    <xf numFmtId="164" fontId="6" fillId="0" borderId="2" xfId="1" applyNumberFormat="1" applyFont="1" applyBorder="1"/>
    <xf numFmtId="164" fontId="6" fillId="0" borderId="4" xfId="1" applyNumberFormat="1" applyFont="1" applyBorder="1"/>
    <xf numFmtId="0" fontId="0" fillId="0" borderId="0" xfId="0" applyAlignment="1">
      <alignment horizontal="right" readingOrder="2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164" fontId="0" fillId="0" borderId="0" xfId="1" applyNumberFormat="1" applyFont="1" applyBorder="1" applyAlignment="1"/>
    <xf numFmtId="0" fontId="0" fillId="0" borderId="0" xfId="0" applyAlignment="1">
      <alignment horizontal="right" wrapText="1"/>
    </xf>
    <xf numFmtId="0" fontId="0" fillId="0" borderId="0" xfId="0" applyAlignment="1">
      <alignment horizontal="right"/>
    </xf>
    <xf numFmtId="164" fontId="0" fillId="0" borderId="5" xfId="1" applyNumberFormat="1" applyFont="1" applyBorder="1" applyAlignment="1">
      <alignment horizontal="right"/>
    </xf>
    <xf numFmtId="0" fontId="0" fillId="3" borderId="0" xfId="0" applyFill="1" applyAlignment="1">
      <alignment horizontal="center"/>
    </xf>
    <xf numFmtId="0" fontId="0" fillId="3" borderId="0" xfId="0" applyFill="1" applyAlignment="1">
      <alignment horizontal="right" wrapText="1"/>
    </xf>
    <xf numFmtId="164" fontId="6" fillId="3" borderId="0" xfId="1" applyNumberFormat="1" applyFont="1" applyFill="1" applyBorder="1" applyAlignment="1">
      <alignment horizontal="right"/>
    </xf>
    <xf numFmtId="164" fontId="0" fillId="0" borderId="0" xfId="1" applyNumberFormat="1" applyFont="1" applyBorder="1" applyAlignment="1">
      <alignment horizontal="right"/>
    </xf>
    <xf numFmtId="164" fontId="6" fillId="3" borderId="6" xfId="1" applyNumberFormat="1" applyFont="1" applyFill="1" applyBorder="1" applyAlignment="1">
      <alignment horizontal="right"/>
    </xf>
    <xf numFmtId="10" fontId="0" fillId="0" borderId="0" xfId="2" applyNumberFormat="1" applyFont="1" applyBorder="1" applyAlignment="1">
      <alignment horizontal="right"/>
    </xf>
    <xf numFmtId="3" fontId="0" fillId="0" borderId="0" xfId="0" applyNumberFormat="1"/>
    <xf numFmtId="1" fontId="0" fillId="0" borderId="0" xfId="0" applyNumberFormat="1"/>
    <xf numFmtId="10" fontId="0" fillId="0" borderId="0" xfId="2" applyNumberFormat="1" applyFont="1" applyBorder="1"/>
    <xf numFmtId="10" fontId="0" fillId="0" borderId="0" xfId="0" applyNumberFormat="1"/>
    <xf numFmtId="164" fontId="6" fillId="0" borderId="0" xfId="1" applyNumberFormat="1" applyFont="1" applyBorder="1"/>
    <xf numFmtId="0" fontId="11" fillId="0" borderId="0" xfId="0" applyFont="1"/>
    <xf numFmtId="0" fontId="1" fillId="0" borderId="0" xfId="0" applyFont="1" applyAlignment="1">
      <alignment horizontal="right"/>
    </xf>
    <xf numFmtId="0" fontId="1" fillId="0" borderId="0" xfId="0" applyFont="1"/>
    <xf numFmtId="0" fontId="12" fillId="0" borderId="0" xfId="0" applyFont="1"/>
    <xf numFmtId="0" fontId="0" fillId="0" borderId="1" xfId="0" applyFill="1" applyBorder="1" applyAlignment="1" applyProtection="1">
      <alignment wrapText="1"/>
    </xf>
    <xf numFmtId="0" fontId="1" fillId="0" borderId="0" xfId="0" applyFont="1" applyFill="1" applyAlignment="1" applyProtection="1">
      <alignment wrapText="1"/>
    </xf>
    <xf numFmtId="0" fontId="1" fillId="0" borderId="1" xfId="0" applyFont="1" applyBorder="1" applyAlignment="1">
      <alignment horizontal="right" readingOrder="2"/>
    </xf>
    <xf numFmtId="0" fontId="1" fillId="0" borderId="1" xfId="0" applyFont="1" applyBorder="1" applyAlignment="1">
      <alignment horizontal="right"/>
    </xf>
    <xf numFmtId="0" fontId="13" fillId="0" borderId="0" xfId="0" applyFont="1"/>
    <xf numFmtId="0" fontId="14" fillId="0" borderId="0" xfId="0" applyFont="1"/>
    <xf numFmtId="14" fontId="14" fillId="0" borderId="0" xfId="0" applyNumberFormat="1" applyFont="1"/>
    <xf numFmtId="0" fontId="14" fillId="0" borderId="0" xfId="0" applyFont="1" applyAlignment="1">
      <alignment horizontal="right" readingOrder="2"/>
    </xf>
    <xf numFmtId="0" fontId="15" fillId="0" borderId="0" xfId="0" applyFont="1" applyAlignment="1">
      <alignment horizontal="center" wrapText="1"/>
    </xf>
    <xf numFmtId="0" fontId="16" fillId="0" borderId="0" xfId="0" applyFont="1" applyAlignment="1">
      <alignment horizontal="right" readingOrder="2"/>
    </xf>
    <xf numFmtId="0" fontId="1" fillId="0" borderId="0" xfId="0" applyFont="1" applyAlignment="1">
      <alignment horizontal="right"/>
    </xf>
    <xf numFmtId="14" fontId="1" fillId="0" borderId="0" xfId="0" applyNumberFormat="1" applyFont="1"/>
    <xf numFmtId="0" fontId="1" fillId="0" borderId="0" xfId="0" applyFont="1" applyAlignment="1">
      <alignment horizontal="right" wrapText="1"/>
    </xf>
    <xf numFmtId="0" fontId="0" fillId="0" borderId="0" xfId="0" applyFont="1"/>
    <xf numFmtId="0" fontId="0" fillId="0" borderId="6" xfId="0" applyBorder="1"/>
    <xf numFmtId="164" fontId="0" fillId="0" borderId="6" xfId="1" applyNumberFormat="1" applyFont="1" applyBorder="1"/>
    <xf numFmtId="0" fontId="1" fillId="0" borderId="6" xfId="0" applyFont="1" applyBorder="1"/>
    <xf numFmtId="0" fontId="0" fillId="2" borderId="0" xfId="0" applyFill="1"/>
    <xf numFmtId="0" fontId="19" fillId="0" borderId="0" xfId="0" applyFont="1"/>
    <xf numFmtId="164" fontId="14" fillId="0" borderId="0" xfId="1" applyNumberFormat="1" applyFont="1"/>
    <xf numFmtId="169" fontId="14" fillId="2" borderId="0" xfId="0" applyNumberFormat="1" applyFont="1" applyFill="1"/>
    <xf numFmtId="0" fontId="11" fillId="0" borderId="0" xfId="0" applyFont="1" applyFill="1" applyProtection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638175</xdr:colOff>
      <xdr:row>1</xdr:row>
      <xdr:rowOff>19050</xdr:rowOff>
    </xdr:from>
    <xdr:to>
      <xdr:col>16</xdr:col>
      <xdr:colOff>432435</xdr:colOff>
      <xdr:row>20</xdr:row>
      <xdr:rowOff>248080</xdr:rowOff>
    </xdr:to>
    <xdr:pic>
      <xdr:nvPicPr>
        <xdr:cNvPr id="5" name="תמונה 4">
          <a:extLst>
            <a:ext uri="{FF2B5EF4-FFF2-40B4-BE49-F238E27FC236}">
              <a16:creationId xmlns:a16="http://schemas.microsoft.com/office/drawing/2014/main" id="{8A78B76C-A4DC-464F-84B9-7ABE9F8F7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74836445" y="194310"/>
          <a:ext cx="5676900" cy="4107610"/>
        </a:xfrm>
        <a:prstGeom prst="rect">
          <a:avLst/>
        </a:prstGeom>
      </xdr:spPr>
    </xdr:pic>
    <xdr:clientData/>
  </xdr:twoCellAnchor>
  <xdr:twoCellAnchor>
    <xdr:from>
      <xdr:col>5</xdr:col>
      <xdr:colOff>295274</xdr:colOff>
      <xdr:row>18</xdr:row>
      <xdr:rowOff>152400</xdr:rowOff>
    </xdr:from>
    <xdr:to>
      <xdr:col>8</xdr:col>
      <xdr:colOff>504825</xdr:colOff>
      <xdr:row>26</xdr:row>
      <xdr:rowOff>85725</xdr:rowOff>
    </xdr:to>
    <xdr:cxnSp macro="">
      <xdr:nvCxnSpPr>
        <xdr:cNvPr id="6" name="מחבר חץ ישר 5">
          <a:extLst>
            <a:ext uri="{FF2B5EF4-FFF2-40B4-BE49-F238E27FC236}">
              <a16:creationId xmlns:a16="http://schemas.microsoft.com/office/drawing/2014/main" id="{3862A2D6-9FA8-4D65-80B9-3A74311A2A29}"/>
            </a:ext>
          </a:extLst>
        </xdr:cNvPr>
        <xdr:cNvCxnSpPr/>
      </xdr:nvCxnSpPr>
      <xdr:spPr>
        <a:xfrm flipH="1" flipV="1">
          <a:off x="10980646695" y="3352800"/>
          <a:ext cx="2967991" cy="2219325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17</xdr:col>
      <xdr:colOff>314325</xdr:colOff>
      <xdr:row>1</xdr:row>
      <xdr:rowOff>104775</xdr:rowOff>
    </xdr:from>
    <xdr:to>
      <xdr:col>22</xdr:col>
      <xdr:colOff>66675</xdr:colOff>
      <xdr:row>19</xdr:row>
      <xdr:rowOff>64770</xdr:rowOff>
    </xdr:to>
    <xdr:pic>
      <xdr:nvPicPr>
        <xdr:cNvPr id="8" name="תמונה 7">
          <a:extLst>
            <a:ext uri="{FF2B5EF4-FFF2-40B4-BE49-F238E27FC236}">
              <a16:creationId xmlns:a16="http://schemas.microsoft.com/office/drawing/2014/main" id="{70F785F7-A1B8-4914-9C3A-B005CDA1B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71636045" y="280035"/>
          <a:ext cx="3105150" cy="3488055"/>
        </a:xfrm>
        <a:prstGeom prst="rect">
          <a:avLst/>
        </a:prstGeom>
      </xdr:spPr>
    </xdr:pic>
    <xdr:clientData/>
  </xdr:twoCellAnchor>
  <xdr:twoCellAnchor>
    <xdr:from>
      <xdr:col>5</xdr:col>
      <xdr:colOff>266700</xdr:colOff>
      <xdr:row>29</xdr:row>
      <xdr:rowOff>137161</xdr:rowOff>
    </xdr:from>
    <xdr:to>
      <xdr:col>11</xdr:col>
      <xdr:colOff>537210</xdr:colOff>
      <xdr:row>31</xdr:row>
      <xdr:rowOff>144780</xdr:rowOff>
    </xdr:to>
    <xdr:cxnSp macro="">
      <xdr:nvCxnSpPr>
        <xdr:cNvPr id="9" name="מחבר חץ ישר 8">
          <a:extLst>
            <a:ext uri="{FF2B5EF4-FFF2-40B4-BE49-F238E27FC236}">
              <a16:creationId xmlns:a16="http://schemas.microsoft.com/office/drawing/2014/main" id="{2886A631-2068-4327-B874-0FCF4BBD3ABC}"/>
            </a:ext>
          </a:extLst>
        </xdr:cNvPr>
        <xdr:cNvCxnSpPr/>
      </xdr:nvCxnSpPr>
      <xdr:spPr>
        <a:xfrm flipH="1" flipV="1">
          <a:off x="10978998870" y="6400801"/>
          <a:ext cx="5101590" cy="525779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139699</xdr:colOff>
      <xdr:row>0</xdr:row>
      <xdr:rowOff>38099</xdr:rowOff>
    </xdr:from>
    <xdr:to>
      <xdr:col>15</xdr:col>
      <xdr:colOff>279400</xdr:colOff>
      <xdr:row>91</xdr:row>
      <xdr:rowOff>24606</xdr:rowOff>
    </xdr:to>
    <xdr:pic>
      <xdr:nvPicPr>
        <xdr:cNvPr id="9" name="תמונה 8">
          <a:extLst>
            <a:ext uri="{FF2B5EF4-FFF2-40B4-BE49-F238E27FC236}">
              <a16:creationId xmlns:a16="http://schemas.microsoft.com/office/drawing/2014/main" id="{7FE051FE-0E0A-4820-882F-45250417F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17694500" y="38099"/>
          <a:ext cx="10236201" cy="16166307"/>
        </a:xfrm>
        <a:prstGeom prst="rect">
          <a:avLst/>
        </a:prstGeom>
      </xdr:spPr>
    </xdr:pic>
    <xdr:clientData/>
  </xdr:twoCellAnchor>
  <xdr:twoCellAnchor editAs="oneCell">
    <xdr:from>
      <xdr:col>15</xdr:col>
      <xdr:colOff>609600</xdr:colOff>
      <xdr:row>0</xdr:row>
      <xdr:rowOff>126999</xdr:rowOff>
    </xdr:from>
    <xdr:to>
      <xdr:col>31</xdr:col>
      <xdr:colOff>609600</xdr:colOff>
      <xdr:row>91</xdr:row>
      <xdr:rowOff>41634</xdr:rowOff>
    </xdr:to>
    <xdr:pic>
      <xdr:nvPicPr>
        <xdr:cNvPr id="18" name="תמונה 17">
          <a:extLst>
            <a:ext uri="{FF2B5EF4-FFF2-40B4-BE49-F238E27FC236}">
              <a16:creationId xmlns:a16="http://schemas.microsoft.com/office/drawing/2014/main" id="{27AF0725-45FB-482A-B42E-EF76D2E6C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06594700" y="126999"/>
          <a:ext cx="10769600" cy="1609443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185057</xdr:colOff>
      <xdr:row>0</xdr:row>
      <xdr:rowOff>141514</xdr:rowOff>
    </xdr:from>
    <xdr:to>
      <xdr:col>14</xdr:col>
      <xdr:colOff>403640</xdr:colOff>
      <xdr:row>40</xdr:row>
      <xdr:rowOff>97972</xdr:rowOff>
    </xdr:to>
    <xdr:pic>
      <xdr:nvPicPr>
        <xdr:cNvPr id="6" name="תמונה 5">
          <a:extLst>
            <a:ext uri="{FF2B5EF4-FFF2-40B4-BE49-F238E27FC236}">
              <a16:creationId xmlns:a16="http://schemas.microsoft.com/office/drawing/2014/main" id="{3447FBFE-88AB-4882-AF5C-B6D7E40CA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47943217" y="141514"/>
          <a:ext cx="9667383" cy="6923315"/>
        </a:xfrm>
        <a:prstGeom prst="rect">
          <a:avLst/>
        </a:prstGeom>
      </xdr:spPr>
    </xdr:pic>
    <xdr:clientData/>
  </xdr:twoCellAnchor>
  <xdr:twoCellAnchor editAs="oneCell">
    <xdr:from>
      <xdr:col>16</xdr:col>
      <xdr:colOff>1</xdr:colOff>
      <xdr:row>1</xdr:row>
      <xdr:rowOff>0</xdr:rowOff>
    </xdr:from>
    <xdr:to>
      <xdr:col>29</xdr:col>
      <xdr:colOff>304801</xdr:colOff>
      <xdr:row>42</xdr:row>
      <xdr:rowOff>69374</xdr:rowOff>
    </xdr:to>
    <xdr:pic>
      <xdr:nvPicPr>
        <xdr:cNvPr id="7" name="תמונה 6">
          <a:extLst>
            <a:ext uri="{FF2B5EF4-FFF2-40B4-BE49-F238E27FC236}">
              <a16:creationId xmlns:a16="http://schemas.microsoft.com/office/drawing/2014/main" id="{DF0DF3C2-E1C9-4FBC-BE7D-9D44ADCB9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37918342" y="174171"/>
          <a:ext cx="9078685" cy="721040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91439</xdr:rowOff>
    </xdr:from>
    <xdr:to>
      <xdr:col>16</xdr:col>
      <xdr:colOff>441960</xdr:colOff>
      <xdr:row>51</xdr:row>
      <xdr:rowOff>146903</xdr:rowOff>
    </xdr:to>
    <xdr:pic>
      <xdr:nvPicPr>
        <xdr:cNvPr id="7" name="תמונה 6">
          <a:extLst>
            <a:ext uri="{FF2B5EF4-FFF2-40B4-BE49-F238E27FC236}">
              <a16:creationId xmlns:a16="http://schemas.microsoft.com/office/drawing/2014/main" id="{BF6CA1DC-E641-4DF1-879D-A1A4C8EAC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75284120" y="91439"/>
          <a:ext cx="11094720" cy="9382344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</xdr:colOff>
      <xdr:row>50</xdr:row>
      <xdr:rowOff>137160</xdr:rowOff>
    </xdr:from>
    <xdr:to>
      <xdr:col>16</xdr:col>
      <xdr:colOff>304800</xdr:colOff>
      <xdr:row>112</xdr:row>
      <xdr:rowOff>64871</xdr:rowOff>
    </xdr:to>
    <xdr:pic>
      <xdr:nvPicPr>
        <xdr:cNvPr id="8" name="תמונה 7">
          <a:extLst>
            <a:ext uri="{FF2B5EF4-FFF2-40B4-BE49-F238E27FC236}">
              <a16:creationId xmlns:a16="http://schemas.microsoft.com/office/drawing/2014/main" id="{7895DD04-E33A-46CD-B507-81847CBB4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75421280" y="9281160"/>
          <a:ext cx="10942320" cy="11266271"/>
        </a:xfrm>
        <a:prstGeom prst="rect">
          <a:avLst/>
        </a:prstGeom>
      </xdr:spPr>
    </xdr:pic>
    <xdr:clientData/>
  </xdr:twoCellAnchor>
  <xdr:twoCellAnchor editAs="oneCell">
    <xdr:from>
      <xdr:col>16</xdr:col>
      <xdr:colOff>533400</xdr:colOff>
      <xdr:row>0</xdr:row>
      <xdr:rowOff>167640</xdr:rowOff>
    </xdr:from>
    <xdr:to>
      <xdr:col>34</xdr:col>
      <xdr:colOff>152400</xdr:colOff>
      <xdr:row>58</xdr:row>
      <xdr:rowOff>182490</xdr:rowOff>
    </xdr:to>
    <xdr:pic>
      <xdr:nvPicPr>
        <xdr:cNvPr id="11" name="תמונה 10">
          <a:extLst>
            <a:ext uri="{FF2B5EF4-FFF2-40B4-BE49-F238E27FC236}">
              <a16:creationId xmlns:a16="http://schemas.microsoft.com/office/drawing/2014/main" id="{6CC8C582-3359-4D88-92AD-F98A6C3D4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963503600" y="167640"/>
          <a:ext cx="11689080" cy="1062189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63499</xdr:colOff>
      <xdr:row>0</xdr:row>
      <xdr:rowOff>63500</xdr:rowOff>
    </xdr:from>
    <xdr:to>
      <xdr:col>14</xdr:col>
      <xdr:colOff>457200</xdr:colOff>
      <xdr:row>52</xdr:row>
      <xdr:rowOff>2781</xdr:rowOff>
    </xdr:to>
    <xdr:pic>
      <xdr:nvPicPr>
        <xdr:cNvPr id="4" name="תמונה 3">
          <a:extLst>
            <a:ext uri="{FF2B5EF4-FFF2-40B4-BE49-F238E27FC236}">
              <a16:creationId xmlns:a16="http://schemas.microsoft.com/office/drawing/2014/main" id="{5C6BD120-F4D5-46FE-9A83-D566C06D4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18189800" y="63500"/>
          <a:ext cx="9817101" cy="91848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54427</xdr:rowOff>
    </xdr:from>
    <xdr:to>
      <xdr:col>10</xdr:col>
      <xdr:colOff>293913</xdr:colOff>
      <xdr:row>54</xdr:row>
      <xdr:rowOff>136580</xdr:rowOff>
    </xdr:to>
    <xdr:pic>
      <xdr:nvPicPr>
        <xdr:cNvPr id="6" name="תמונה 5">
          <a:extLst>
            <a:ext uri="{FF2B5EF4-FFF2-40B4-BE49-F238E27FC236}">
              <a16:creationId xmlns:a16="http://schemas.microsoft.com/office/drawing/2014/main" id="{503A68C9-B990-4AFA-8484-7D36C4540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50752601" y="54427"/>
          <a:ext cx="7043056" cy="9487410"/>
        </a:xfrm>
        <a:prstGeom prst="rect">
          <a:avLst/>
        </a:prstGeom>
      </xdr:spPr>
    </xdr:pic>
    <xdr:clientData/>
  </xdr:twoCellAnchor>
  <xdr:twoCellAnchor editAs="oneCell">
    <xdr:from>
      <xdr:col>11</xdr:col>
      <xdr:colOff>65314</xdr:colOff>
      <xdr:row>0</xdr:row>
      <xdr:rowOff>32656</xdr:rowOff>
    </xdr:from>
    <xdr:to>
      <xdr:col>20</xdr:col>
      <xdr:colOff>511628</xdr:colOff>
      <xdr:row>55</xdr:row>
      <xdr:rowOff>132510</xdr:rowOff>
    </xdr:to>
    <xdr:pic>
      <xdr:nvPicPr>
        <xdr:cNvPr id="7" name="תמונה 6">
          <a:extLst>
            <a:ext uri="{FF2B5EF4-FFF2-40B4-BE49-F238E27FC236}">
              <a16:creationId xmlns:a16="http://schemas.microsoft.com/office/drawing/2014/main" id="{5E4D4908-561B-482B-9632-922530751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43785743" y="32656"/>
          <a:ext cx="6520543" cy="96792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3"/>
  <sheetViews>
    <sheetView rightToLeft="1" tabSelected="1" topLeftCell="F1" zoomScale="125" zoomScaleNormal="125" workbookViewId="0">
      <selection activeCell="G11" sqref="G11"/>
    </sheetView>
  </sheetViews>
  <sheetFormatPr defaultColWidth="9.09765625" defaultRowHeight="13.8" x14ac:dyDescent="0.25"/>
  <cols>
    <col min="1" max="1" width="10.8984375" bestFit="1" customWidth="1"/>
    <col min="2" max="2" width="20.796875" customWidth="1"/>
    <col min="3" max="3" width="9.8984375" customWidth="1"/>
    <col min="4" max="4" width="12.69921875" bestFit="1" customWidth="1"/>
    <col min="5" max="5" width="8.5" bestFit="1" customWidth="1"/>
    <col min="6" max="6" width="14.8984375" bestFit="1" customWidth="1"/>
    <col min="7" max="7" width="10.19921875" customWidth="1"/>
    <col min="8" max="8" width="9.09765625" customWidth="1"/>
    <col min="9" max="9" width="8.796875" customWidth="1"/>
    <col min="10" max="10" width="12" bestFit="1" customWidth="1"/>
    <col min="11" max="15" width="9.09765625" customWidth="1"/>
    <col min="16" max="16" width="10.09765625" bestFit="1" customWidth="1"/>
  </cols>
  <sheetData>
    <row r="1" spans="1:19" x14ac:dyDescent="0.25">
      <c r="A1" s="1" t="s">
        <v>67</v>
      </c>
    </row>
    <row r="3" spans="1:19" s="9" customFormat="1" ht="55.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F3" s="7" t="s">
        <v>5</v>
      </c>
      <c r="G3" s="7" t="s">
        <v>6</v>
      </c>
      <c r="H3" s="7" t="s">
        <v>7</v>
      </c>
      <c r="I3" s="7" t="s">
        <v>8</v>
      </c>
      <c r="J3" s="7" t="s">
        <v>9</v>
      </c>
      <c r="K3" s="8" t="s">
        <v>29</v>
      </c>
      <c r="L3" s="8" t="s">
        <v>30</v>
      </c>
      <c r="M3" s="8" t="s">
        <v>31</v>
      </c>
      <c r="N3" s="8" t="s">
        <v>32</v>
      </c>
      <c r="O3" s="8" t="s">
        <v>33</v>
      </c>
      <c r="P3" s="8" t="s">
        <v>73</v>
      </c>
      <c r="Q3" s="8" t="s">
        <v>26</v>
      </c>
      <c r="R3" s="53" t="s">
        <v>77</v>
      </c>
    </row>
    <row r="4" spans="1:19" x14ac:dyDescent="0.25">
      <c r="A4" s="2"/>
      <c r="B4" s="52" t="s">
        <v>10</v>
      </c>
      <c r="C4" s="2" t="s">
        <v>28</v>
      </c>
      <c r="D4" s="2" t="s">
        <v>11</v>
      </c>
      <c r="E4" s="2" t="s">
        <v>12</v>
      </c>
      <c r="F4" s="2" t="s">
        <v>13</v>
      </c>
      <c r="G4" s="2" t="s">
        <v>14</v>
      </c>
      <c r="H4" s="2" t="s">
        <v>15</v>
      </c>
      <c r="I4" s="2">
        <v>0</v>
      </c>
      <c r="J4" s="5">
        <v>841660.93</v>
      </c>
      <c r="K4" s="5"/>
      <c r="L4" s="5">
        <f>66834+67258</f>
        <v>134092</v>
      </c>
      <c r="M4" s="5">
        <f>J4-L4-O4</f>
        <v>394217.93000000005</v>
      </c>
      <c r="N4" s="5"/>
      <c r="O4" s="5">
        <v>313351</v>
      </c>
      <c r="P4" s="5">
        <v>153</v>
      </c>
      <c r="Q4" s="5">
        <f>J4/P4</f>
        <v>5501.0518300653603</v>
      </c>
      <c r="R4">
        <f>(O4+M4)/P4</f>
        <v>4624.6335294117653</v>
      </c>
      <c r="S4">
        <f>L4/P4</f>
        <v>876.41830065359477</v>
      </c>
    </row>
    <row r="5" spans="1:19" ht="27.6" x14ac:dyDescent="0.25">
      <c r="A5" s="2"/>
      <c r="B5" s="52" t="s">
        <v>16</v>
      </c>
      <c r="C5" s="2" t="s">
        <v>28</v>
      </c>
      <c r="D5" s="2" t="s">
        <v>17</v>
      </c>
      <c r="E5" s="2" t="s">
        <v>18</v>
      </c>
      <c r="F5" s="2" t="s">
        <v>19</v>
      </c>
      <c r="G5" s="2" t="s">
        <v>14</v>
      </c>
      <c r="H5" s="2" t="s">
        <v>20</v>
      </c>
      <c r="I5" s="2">
        <v>0</v>
      </c>
      <c r="J5" s="5">
        <v>46389.68</v>
      </c>
      <c r="K5" s="5"/>
      <c r="L5" s="5"/>
      <c r="M5" s="5"/>
      <c r="N5" s="5">
        <f>J5</f>
        <v>46389.68</v>
      </c>
      <c r="O5" s="5"/>
      <c r="P5" s="5"/>
      <c r="Q5" s="5"/>
    </row>
    <row r="6" spans="1:19" x14ac:dyDescent="0.25">
      <c r="A6" s="2"/>
      <c r="B6" s="52" t="s">
        <v>10</v>
      </c>
      <c r="C6" s="2" t="s">
        <v>28</v>
      </c>
      <c r="D6" s="2" t="s">
        <v>21</v>
      </c>
      <c r="E6" s="2" t="s">
        <v>12</v>
      </c>
      <c r="F6" s="2" t="s">
        <v>13</v>
      </c>
      <c r="G6" s="2" t="s">
        <v>14</v>
      </c>
      <c r="H6" s="2" t="s">
        <v>15</v>
      </c>
      <c r="I6" s="2">
        <v>0</v>
      </c>
      <c r="J6" s="5">
        <v>6609</v>
      </c>
      <c r="K6" s="5"/>
      <c r="L6" s="5"/>
      <c r="M6" s="5">
        <f>J6</f>
        <v>6609</v>
      </c>
      <c r="N6" s="5"/>
      <c r="O6" s="5"/>
      <c r="P6" s="5"/>
      <c r="Q6" s="5"/>
    </row>
    <row r="7" spans="1:19" ht="27.6" x14ac:dyDescent="0.25">
      <c r="A7" s="2"/>
      <c r="B7" s="52" t="s">
        <v>22</v>
      </c>
      <c r="C7" s="2" t="s">
        <v>28</v>
      </c>
      <c r="D7" s="2" t="s">
        <v>23</v>
      </c>
      <c r="E7" s="2" t="s">
        <v>18</v>
      </c>
      <c r="F7" s="2" t="s">
        <v>24</v>
      </c>
      <c r="G7" s="2" t="s">
        <v>14</v>
      </c>
      <c r="H7" s="2" t="s">
        <v>15</v>
      </c>
      <c r="I7" s="2">
        <v>1499.87</v>
      </c>
      <c r="J7" s="5">
        <v>125862.55</v>
      </c>
      <c r="K7" s="5">
        <f>J7</f>
        <v>125862.55</v>
      </c>
      <c r="L7" s="5"/>
      <c r="M7" s="5"/>
      <c r="N7" s="5"/>
      <c r="O7" s="5"/>
      <c r="P7" s="5"/>
      <c r="Q7" s="5"/>
    </row>
    <row r="8" spans="1:19" x14ac:dyDescent="0.25">
      <c r="A8" s="3" t="s">
        <v>25</v>
      </c>
      <c r="B8" s="4"/>
      <c r="C8" s="4"/>
      <c r="D8" s="4"/>
      <c r="E8" s="4"/>
      <c r="F8" s="4"/>
      <c r="G8" s="4"/>
      <c r="H8" s="4"/>
      <c r="I8" s="4"/>
      <c r="J8" s="6">
        <f>J4+J5+J6+J7</f>
        <v>1020522.1600000001</v>
      </c>
      <c r="K8" s="6">
        <f t="shared" ref="K8:O8" si="0">K4+K5+K6+K7</f>
        <v>125862.55</v>
      </c>
      <c r="L8" s="6">
        <f t="shared" si="0"/>
        <v>134092</v>
      </c>
      <c r="M8" s="6">
        <f t="shared" si="0"/>
        <v>400826.93000000005</v>
      </c>
      <c r="N8" s="6">
        <f t="shared" si="0"/>
        <v>46389.68</v>
      </c>
      <c r="O8" s="6">
        <f t="shared" si="0"/>
        <v>313351</v>
      </c>
      <c r="P8" s="6"/>
      <c r="Q8" s="6"/>
    </row>
    <row r="11" spans="1:19" x14ac:dyDescent="0.25">
      <c r="G11" s="73" t="s">
        <v>106</v>
      </c>
    </row>
    <row r="12" spans="1:19" x14ac:dyDescent="0.25">
      <c r="G12" s="1" t="s">
        <v>79</v>
      </c>
      <c r="H12">
        <v>50000</v>
      </c>
      <c r="I12" s="1" t="s">
        <v>78</v>
      </c>
      <c r="M12" s="1"/>
    </row>
    <row r="13" spans="1:19" x14ac:dyDescent="0.25">
      <c r="G13" s="1" t="s">
        <v>80</v>
      </c>
      <c r="H13">
        <v>10000</v>
      </c>
      <c r="I13" s="1" t="s">
        <v>78</v>
      </c>
    </row>
  </sheetData>
  <pageMargins left="0.7" right="0.7" top="0.75" bottom="0.75" header="0.3" footer="0.3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6B6D0-F8D9-4842-B563-A3140D02C1DD}">
  <dimension ref="A1:T65"/>
  <sheetViews>
    <sheetView rightToLeft="1" workbookViewId="0">
      <selection activeCell="I35" sqref="I35"/>
    </sheetView>
  </sheetViews>
  <sheetFormatPr defaultRowHeight="13.8" x14ac:dyDescent="0.25"/>
  <cols>
    <col min="1" max="1" width="18" style="10" customWidth="1"/>
    <col min="2" max="2" width="10.19921875" style="10" customWidth="1"/>
    <col min="3" max="3" width="23.59765625" style="10" customWidth="1"/>
    <col min="4" max="4" width="13.19921875" style="10" customWidth="1"/>
    <col min="5" max="5" width="13.8984375" style="10" customWidth="1"/>
    <col min="6" max="6" width="16.59765625" style="10" customWidth="1"/>
    <col min="7" max="7" width="9.8984375" style="10" bestFit="1" customWidth="1"/>
    <col min="8" max="8" width="9.69921875" style="10" customWidth="1"/>
    <col min="9" max="9" width="9.59765625" style="10" customWidth="1"/>
    <col min="10" max="12" width="8.796875" style="10"/>
    <col min="13" max="13" width="14.796875" style="10" bestFit="1" customWidth="1"/>
    <col min="14" max="16384" width="8.796875" style="10"/>
  </cols>
  <sheetData>
    <row r="1" spans="1:19" x14ac:dyDescent="0.25">
      <c r="J1" s="11" t="s">
        <v>34</v>
      </c>
      <c r="S1" s="11" t="s">
        <v>35</v>
      </c>
    </row>
    <row r="7" spans="1:19" x14ac:dyDescent="0.25">
      <c r="F7" s="10" t="s">
        <v>63</v>
      </c>
      <c r="G7" s="12"/>
    </row>
    <row r="8" spans="1:19" x14ac:dyDescent="0.25">
      <c r="A8" s="13" t="s">
        <v>36</v>
      </c>
      <c r="G8" s="12"/>
    </row>
    <row r="9" spans="1:19" x14ac:dyDescent="0.25">
      <c r="A9" s="14" t="s">
        <v>61</v>
      </c>
    </row>
    <row r="10" spans="1:19" x14ac:dyDescent="0.25">
      <c r="A10" s="15"/>
    </row>
    <row r="11" spans="1:19" ht="15.6" x14ac:dyDescent="0.3">
      <c r="A11" s="16" t="s">
        <v>62</v>
      </c>
    </row>
    <row r="12" spans="1:19" ht="15.6" x14ac:dyDescent="0.3">
      <c r="A12" s="16"/>
    </row>
    <row r="13" spans="1:19" x14ac:dyDescent="0.25">
      <c r="A13" s="14" t="s">
        <v>64</v>
      </c>
    </row>
    <row r="14" spans="1:19" x14ac:dyDescent="0.25">
      <c r="A14" s="14"/>
    </row>
    <row r="15" spans="1:19" x14ac:dyDescent="0.25">
      <c r="A15" s="14" t="s">
        <v>82</v>
      </c>
    </row>
    <row r="16" spans="1:19" x14ac:dyDescent="0.25">
      <c r="A16" s="14"/>
    </row>
    <row r="17" spans="1:20" x14ac:dyDescent="0.25">
      <c r="A17" s="17" t="s">
        <v>37</v>
      </c>
    </row>
    <row r="18" spans="1:20" x14ac:dyDescent="0.25">
      <c r="A18" s="17"/>
    </row>
    <row r="19" spans="1:20" ht="41.4" x14ac:dyDescent="0.25">
      <c r="A19" s="18" t="s">
        <v>38</v>
      </c>
      <c r="B19" s="18" t="s">
        <v>39</v>
      </c>
      <c r="C19" s="18" t="s">
        <v>40</v>
      </c>
      <c r="D19" s="19" t="s">
        <v>83</v>
      </c>
      <c r="E19" s="20" t="s">
        <v>41</v>
      </c>
      <c r="F19" s="21" t="s">
        <v>42</v>
      </c>
    </row>
    <row r="20" spans="1:20" ht="27.75" customHeight="1" x14ac:dyDescent="0.25">
      <c r="A20" s="22" t="s">
        <v>28</v>
      </c>
      <c r="B20" s="23"/>
      <c r="C20" s="54" t="s">
        <v>81</v>
      </c>
      <c r="D20" s="23">
        <v>25.106000000000002</v>
      </c>
      <c r="E20" s="24">
        <v>50000</v>
      </c>
      <c r="F20" s="25">
        <v>1</v>
      </c>
    </row>
    <row r="21" spans="1:20" ht="27.75" customHeight="1" x14ac:dyDescent="0.25">
      <c r="A21" s="22" t="s">
        <v>43</v>
      </c>
      <c r="B21" s="23">
        <v>943006221</v>
      </c>
      <c r="C21" s="55" t="s">
        <v>84</v>
      </c>
      <c r="D21" s="23">
        <v>18.89</v>
      </c>
      <c r="E21" s="24">
        <v>25485</v>
      </c>
      <c r="F21" s="25">
        <v>2</v>
      </c>
    </row>
    <row r="22" spans="1:20" ht="28.5" customHeight="1" x14ac:dyDescent="0.25">
      <c r="A22" s="26" t="s">
        <v>25</v>
      </c>
      <c r="B22" s="26"/>
      <c r="C22" s="26"/>
      <c r="D22" s="27">
        <f>SUM(D20:D21)</f>
        <v>43.996000000000002</v>
      </c>
      <c r="E22" s="28">
        <f>SUM(E20:E21)</f>
        <v>75485</v>
      </c>
      <c r="F22" s="29"/>
    </row>
    <row r="23" spans="1:20" x14ac:dyDescent="0.25">
      <c r="A23" s="48" t="s">
        <v>44</v>
      </c>
      <c r="C23" s="12"/>
    </row>
    <row r="24" spans="1:20" x14ac:dyDescent="0.25">
      <c r="A24" s="30"/>
      <c r="C24" s="63" t="s">
        <v>91</v>
      </c>
      <c r="D24" s="10">
        <f>32-D20</f>
        <v>6.8939999999999984</v>
      </c>
    </row>
    <row r="25" spans="1:20" x14ac:dyDescent="0.25">
      <c r="A25" s="30"/>
      <c r="C25" s="12"/>
    </row>
    <row r="26" spans="1:20" x14ac:dyDescent="0.25">
      <c r="A26" s="30"/>
      <c r="C26" s="12"/>
    </row>
    <row r="27" spans="1:20" s="57" customFormat="1" ht="20.399999999999999" x14ac:dyDescent="0.35">
      <c r="A27" s="56" t="s">
        <v>45</v>
      </c>
      <c r="C27" s="58"/>
      <c r="M27" s="58">
        <v>45017</v>
      </c>
    </row>
    <row r="28" spans="1:20" s="57" customFormat="1" ht="20.399999999999999" x14ac:dyDescent="0.35">
      <c r="A28" s="59"/>
      <c r="C28" s="58"/>
      <c r="M28" s="58">
        <v>34516</v>
      </c>
    </row>
    <row r="29" spans="1:20" s="57" customFormat="1" ht="20.399999999999999" x14ac:dyDescent="0.35">
      <c r="A29" s="59" t="s">
        <v>85</v>
      </c>
      <c r="C29" s="58"/>
      <c r="M29" s="57">
        <f>M27-M28</f>
        <v>10501</v>
      </c>
    </row>
    <row r="30" spans="1:20" s="57" customFormat="1" ht="20.399999999999999" x14ac:dyDescent="0.35">
      <c r="A30" s="59" t="s">
        <v>86</v>
      </c>
      <c r="C30" s="58"/>
      <c r="M30" s="72">
        <f>M29/365</f>
        <v>28.769863013698629</v>
      </c>
      <c r="S30" s="60" t="s">
        <v>46</v>
      </c>
      <c r="T30" s="60"/>
    </row>
    <row r="31" spans="1:20" s="57" customFormat="1" ht="20.399999999999999" x14ac:dyDescent="0.35">
      <c r="A31" s="59" t="s">
        <v>47</v>
      </c>
      <c r="C31" s="58"/>
      <c r="S31" s="60"/>
      <c r="T31" s="60"/>
    </row>
    <row r="32" spans="1:20" s="57" customFormat="1" ht="20.399999999999999" x14ac:dyDescent="0.35">
      <c r="A32" s="59" t="s">
        <v>89</v>
      </c>
      <c r="C32" s="58"/>
      <c r="S32" s="60"/>
      <c r="T32" s="60"/>
    </row>
    <row r="33" spans="1:7" s="57" customFormat="1" ht="20.399999999999999" x14ac:dyDescent="0.35">
      <c r="A33" s="59" t="s">
        <v>87</v>
      </c>
      <c r="C33" s="58"/>
    </row>
    <row r="34" spans="1:7" s="57" customFormat="1" ht="20.399999999999999" x14ac:dyDescent="0.35">
      <c r="A34" s="59" t="s">
        <v>88</v>
      </c>
      <c r="C34" s="58"/>
    </row>
    <row r="35" spans="1:7" s="57" customFormat="1" ht="21" x14ac:dyDescent="0.4">
      <c r="A35" s="61" t="s">
        <v>90</v>
      </c>
      <c r="C35" s="58"/>
      <c r="E35" s="71">
        <f>277278*3/28.77</f>
        <v>28913.242961418146</v>
      </c>
    </row>
    <row r="36" spans="1:7" x14ac:dyDescent="0.25">
      <c r="C36" s="12"/>
    </row>
    <row r="37" spans="1:7" x14ac:dyDescent="0.25">
      <c r="A37" s="13" t="s">
        <v>48</v>
      </c>
    </row>
    <row r="38" spans="1:7" x14ac:dyDescent="0.25">
      <c r="A38" s="15"/>
    </row>
    <row r="39" spans="1:7" x14ac:dyDescent="0.25">
      <c r="A39" s="31">
        <v>1</v>
      </c>
      <c r="B39" s="49" t="s">
        <v>49</v>
      </c>
      <c r="C39" s="32"/>
      <c r="D39" s="33">
        <f>8510*0.52*180</f>
        <v>796536</v>
      </c>
      <c r="E39" s="30"/>
    </row>
    <row r="40" spans="1:7" ht="42.6" customHeight="1" x14ac:dyDescent="0.25">
      <c r="A40" s="31">
        <v>2</v>
      </c>
      <c r="B40" s="64" t="s">
        <v>105</v>
      </c>
      <c r="C40" s="34"/>
      <c r="D40" s="33">
        <v>-92846</v>
      </c>
      <c r="E40" s="62" t="s">
        <v>92</v>
      </c>
      <c r="G40" s="70" t="s">
        <v>93</v>
      </c>
    </row>
    <row r="41" spans="1:7" ht="14.4" thickBot="1" x14ac:dyDescent="0.3">
      <c r="A41" s="31">
        <v>3</v>
      </c>
      <c r="B41" s="10" t="s">
        <v>50</v>
      </c>
      <c r="D41" s="36">
        <f>-E35</f>
        <v>-28913.242961418146</v>
      </c>
    </row>
    <row r="42" spans="1:7" ht="28.2" customHeight="1" thickTop="1" x14ac:dyDescent="0.25">
      <c r="A42" s="37">
        <v>4</v>
      </c>
      <c r="B42" s="38" t="s">
        <v>51</v>
      </c>
      <c r="C42" s="38"/>
      <c r="D42" s="39">
        <f>D39+D40+D41</f>
        <v>674776.75703858188</v>
      </c>
      <c r="F42" s="11"/>
    </row>
    <row r="43" spans="1:7" ht="23.4" customHeight="1" x14ac:dyDescent="0.25">
      <c r="A43" s="31">
        <v>5</v>
      </c>
      <c r="B43" s="34" t="s">
        <v>52</v>
      </c>
      <c r="C43" s="34"/>
      <c r="D43" s="40">
        <v>-10000</v>
      </c>
    </row>
    <row r="44" spans="1:7" ht="25.2" customHeight="1" thickBot="1" x14ac:dyDescent="0.3">
      <c r="A44" s="37">
        <v>6</v>
      </c>
      <c r="B44" s="38" t="s">
        <v>53</v>
      </c>
      <c r="C44" s="38"/>
      <c r="D44" s="41">
        <f>D42+D43</f>
        <v>664776.75703858188</v>
      </c>
    </row>
    <row r="45" spans="1:7" ht="14.4" thickTop="1" x14ac:dyDescent="0.25">
      <c r="A45" s="31">
        <v>7</v>
      </c>
      <c r="B45" s="10" t="s">
        <v>54</v>
      </c>
      <c r="D45" s="40">
        <f>D44/180</f>
        <v>3693.2042057698995</v>
      </c>
    </row>
    <row r="46" spans="1:7" x14ac:dyDescent="0.25">
      <c r="A46" s="31">
        <v>8</v>
      </c>
      <c r="B46" s="10" t="s">
        <v>55</v>
      </c>
      <c r="D46" s="33">
        <v>8510</v>
      </c>
    </row>
    <row r="47" spans="1:7" ht="21" customHeight="1" x14ac:dyDescent="0.25">
      <c r="A47" s="31">
        <v>9</v>
      </c>
      <c r="B47" s="34" t="s">
        <v>56</v>
      </c>
      <c r="C47" s="34"/>
      <c r="D47" s="42">
        <f>D45/D46</f>
        <v>0.43398404298118681</v>
      </c>
    </row>
    <row r="48" spans="1:7" x14ac:dyDescent="0.25">
      <c r="C48" s="43"/>
    </row>
    <row r="49" spans="1:5" x14ac:dyDescent="0.25">
      <c r="A49" s="10" t="s">
        <v>57</v>
      </c>
      <c r="C49" s="43"/>
    </row>
    <row r="50" spans="1:5" x14ac:dyDescent="0.25">
      <c r="C50" s="43"/>
    </row>
    <row r="51" spans="1:5" x14ac:dyDescent="0.25">
      <c r="A51" s="15" t="s">
        <v>58</v>
      </c>
      <c r="C51" s="43"/>
    </row>
    <row r="52" spans="1:5" x14ac:dyDescent="0.25">
      <c r="A52" s="50" t="s">
        <v>65</v>
      </c>
    </row>
    <row r="53" spans="1:5" x14ac:dyDescent="0.25">
      <c r="A53" s="15"/>
    </row>
    <row r="54" spans="1:5" x14ac:dyDescent="0.25">
      <c r="D54" s="44"/>
      <c r="E54" s="10" t="s">
        <v>59</v>
      </c>
    </row>
    <row r="55" spans="1:5" x14ac:dyDescent="0.25">
      <c r="E55" s="50" t="s">
        <v>60</v>
      </c>
    </row>
    <row r="56" spans="1:5" x14ac:dyDescent="0.25">
      <c r="C56" s="45"/>
    </row>
    <row r="57" spans="1:5" x14ac:dyDescent="0.25">
      <c r="C57" s="46"/>
    </row>
    <row r="58" spans="1:5" x14ac:dyDescent="0.25">
      <c r="C58" s="46"/>
    </row>
    <row r="60" spans="1:5" x14ac:dyDescent="0.25">
      <c r="A60" s="15"/>
      <c r="B60" s="15"/>
      <c r="C60" s="47"/>
      <c r="D60" s="35"/>
    </row>
    <row r="63" spans="1:5" x14ac:dyDescent="0.25">
      <c r="A63" s="30"/>
    </row>
    <row r="64" spans="1:5" x14ac:dyDescent="0.25">
      <c r="A64" s="30"/>
    </row>
    <row r="65" spans="1:1" x14ac:dyDescent="0.25">
      <c r="A65" s="30"/>
    </row>
  </sheetData>
  <mergeCells count="8">
    <mergeCell ref="B44:C44"/>
    <mergeCell ref="B47:C47"/>
    <mergeCell ref="A22:C22"/>
    <mergeCell ref="S30:T32"/>
    <mergeCell ref="B39:C39"/>
    <mergeCell ref="B40:C40"/>
    <mergeCell ref="B42:C42"/>
    <mergeCell ref="B43:C4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CEFF9-45AF-4493-A07F-B53CE375E334}">
  <dimension ref="A1:R23"/>
  <sheetViews>
    <sheetView rightToLeft="1" topLeftCell="A10" workbookViewId="0">
      <selection activeCell="I31" sqref="I31"/>
    </sheetView>
  </sheetViews>
  <sheetFormatPr defaultRowHeight="13.8" x14ac:dyDescent="0.25"/>
  <cols>
    <col min="1" max="2" width="8.796875" style="10"/>
    <col min="3" max="3" width="9.8984375" style="10" bestFit="1" customWidth="1"/>
    <col min="4" max="4" width="8.796875" style="10"/>
    <col min="5" max="5" width="11.59765625" style="10" bestFit="1" customWidth="1"/>
    <col min="6" max="16" width="8.796875" style="10"/>
    <col min="17" max="17" width="9.8984375" style="10" bestFit="1" customWidth="1"/>
    <col min="18" max="16384" width="8.796875" style="10"/>
  </cols>
  <sheetData>
    <row r="1" spans="1:18" x14ac:dyDescent="0.25">
      <c r="A1" s="13" t="s">
        <v>67</v>
      </c>
    </row>
    <row r="3" spans="1:18" x14ac:dyDescent="0.25">
      <c r="A3" s="51" t="s">
        <v>66</v>
      </c>
    </row>
    <row r="4" spans="1:18" x14ac:dyDescent="0.25">
      <c r="K4" s="50" t="s">
        <v>94</v>
      </c>
      <c r="N4" s="10">
        <f>50446+15815</f>
        <v>66261</v>
      </c>
    </row>
    <row r="5" spans="1:18" x14ac:dyDescent="0.25">
      <c r="A5" s="50" t="s">
        <v>69</v>
      </c>
      <c r="K5" s="50" t="s">
        <v>95</v>
      </c>
      <c r="N5" s="10">
        <v>-50000</v>
      </c>
      <c r="Q5" s="12">
        <v>44309</v>
      </c>
      <c r="R5" s="50" t="s">
        <v>98</v>
      </c>
    </row>
    <row r="6" spans="1:18" x14ac:dyDescent="0.25">
      <c r="K6" s="50" t="s">
        <v>96</v>
      </c>
      <c r="N6" s="10">
        <f>-12340*Q8</f>
        <v>-13083.780821917808</v>
      </c>
      <c r="Q6" s="12">
        <v>43922</v>
      </c>
      <c r="R6" s="50" t="s">
        <v>97</v>
      </c>
    </row>
    <row r="7" spans="1:18" x14ac:dyDescent="0.25">
      <c r="A7" s="50" t="s">
        <v>68</v>
      </c>
      <c r="Q7" s="10">
        <f>Q5-Q6</f>
        <v>387</v>
      </c>
    </row>
    <row r="8" spans="1:18" ht="14.4" thickBot="1" x14ac:dyDescent="0.3">
      <c r="K8" s="65" t="s">
        <v>99</v>
      </c>
      <c r="N8" s="67">
        <f>SUM(N4:N7)</f>
        <v>3177.2191780821922</v>
      </c>
      <c r="Q8" s="10">
        <f>Q7/365</f>
        <v>1.0602739726027397</v>
      </c>
    </row>
    <row r="9" spans="1:18" ht="14.4" thickTop="1" x14ac:dyDescent="0.25">
      <c r="A9" s="50" t="s">
        <v>70</v>
      </c>
    </row>
    <row r="11" spans="1:18" x14ac:dyDescent="0.25">
      <c r="A11" s="50" t="s">
        <v>71</v>
      </c>
      <c r="C11" s="43">
        <v>15000</v>
      </c>
    </row>
    <row r="15" spans="1:18" x14ac:dyDescent="0.25">
      <c r="A15" s="50" t="s">
        <v>72</v>
      </c>
      <c r="C15" s="43">
        <v>11000</v>
      </c>
      <c r="F15" s="48" t="s">
        <v>27</v>
      </c>
      <c r="G15" s="48" t="s">
        <v>100</v>
      </c>
      <c r="H15" s="48"/>
      <c r="I15" s="48" t="s">
        <v>104</v>
      </c>
    </row>
    <row r="16" spans="1:18" x14ac:dyDescent="0.25">
      <c r="E16" s="50" t="s">
        <v>74</v>
      </c>
      <c r="F16" s="10">
        <v>6500</v>
      </c>
      <c r="G16" s="10">
        <f>F16-3677</f>
        <v>2823</v>
      </c>
    </row>
    <row r="17" spans="2:12" x14ac:dyDescent="0.25">
      <c r="B17" s="50"/>
      <c r="E17" s="50" t="s">
        <v>75</v>
      </c>
      <c r="F17" s="10">
        <v>2300</v>
      </c>
      <c r="I17" s="10">
        <v>2100</v>
      </c>
      <c r="J17" s="50" t="s">
        <v>102</v>
      </c>
    </row>
    <row r="18" spans="2:12" x14ac:dyDescent="0.25">
      <c r="E18" s="50" t="s">
        <v>76</v>
      </c>
      <c r="F18" s="10">
        <v>5500</v>
      </c>
      <c r="G18" s="10">
        <v>5500</v>
      </c>
    </row>
    <row r="19" spans="2:12" ht="14.4" thickBot="1" x14ac:dyDescent="0.3">
      <c r="F19" s="66">
        <f>F18+F17+F16</f>
        <v>14300</v>
      </c>
      <c r="G19" s="66">
        <f>SUM(G16:G18)</f>
        <v>8323</v>
      </c>
      <c r="H19" s="66"/>
      <c r="I19" s="66">
        <f>I17</f>
        <v>2100</v>
      </c>
    </row>
    <row r="20" spans="2:12" ht="14.4" thickTop="1" x14ac:dyDescent="0.25"/>
    <row r="21" spans="2:12" x14ac:dyDescent="0.25">
      <c r="F21" s="50" t="s">
        <v>103</v>
      </c>
      <c r="G21" s="10">
        <v>423</v>
      </c>
    </row>
    <row r="22" spans="2:12" ht="14.4" thickBot="1" x14ac:dyDescent="0.3">
      <c r="F22" s="68" t="s">
        <v>101</v>
      </c>
      <c r="G22" s="66">
        <f>G19-G21</f>
        <v>7900</v>
      </c>
      <c r="H22" s="66"/>
      <c r="I22" s="66">
        <v>2100</v>
      </c>
      <c r="K22" s="50" t="s">
        <v>25</v>
      </c>
      <c r="L22" s="69">
        <f>G22+I22</f>
        <v>10000</v>
      </c>
    </row>
    <row r="23" spans="2:12" ht="14.4" thickTop="1" x14ac:dyDescent="0.25"/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D43B6-6072-4F1A-A249-476D4FE40E9E}">
  <dimension ref="A1"/>
  <sheetViews>
    <sheetView rightToLeft="1" topLeftCell="A7" zoomScale="60" zoomScaleNormal="60" workbookViewId="0">
      <selection activeCell="L97" sqref="L97"/>
    </sheetView>
  </sheetViews>
  <sheetFormatPr defaultRowHeight="13.8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4BA58-71E8-480D-A423-E170DCBE2D45}">
  <dimension ref="A1"/>
  <sheetViews>
    <sheetView rightToLeft="1" topLeftCell="A4" zoomScale="70" zoomScaleNormal="70" workbookViewId="0">
      <selection activeCell="Q49" sqref="Q49"/>
    </sheetView>
  </sheetViews>
  <sheetFormatPr defaultRowHeight="13.8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10E84-9045-4547-908E-4E121C81E58E}">
  <dimension ref="A1"/>
  <sheetViews>
    <sheetView rightToLeft="1" topLeftCell="A22" zoomScale="50" zoomScaleNormal="50" workbookViewId="0">
      <selection activeCell="AK10" sqref="AK10"/>
    </sheetView>
  </sheetViews>
  <sheetFormatPr defaultRowHeight="13.8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2E3CC-AA71-4C75-BE8F-E55ED5F92D2D}">
  <dimension ref="A1"/>
  <sheetViews>
    <sheetView rightToLeft="1" topLeftCell="A7" zoomScale="60" zoomScaleNormal="60" workbookViewId="0">
      <selection activeCell="R34" sqref="R34"/>
    </sheetView>
  </sheetViews>
  <sheetFormatPr defaultRowHeight="13.8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D753E-0F67-4209-8AE6-A697BD5E8657}">
  <dimension ref="Z28"/>
  <sheetViews>
    <sheetView rightToLeft="1" topLeftCell="A19" zoomScale="70" zoomScaleNormal="70" workbookViewId="0">
      <selection activeCell="Z28" sqref="Z28"/>
    </sheetView>
  </sheetViews>
  <sheetFormatPr defaultRowHeight="13.8" x14ac:dyDescent="0.25"/>
  <sheetData>
    <row r="28" spans="26:26" x14ac:dyDescent="0.25">
      <c r="Z28" s="1">
        <f>25484*6.9/22</f>
        <v>7992.7090909090912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גליונות עבודה</vt:lpstr>
      </vt:variant>
      <vt:variant>
        <vt:i4>8</vt:i4>
      </vt:variant>
    </vt:vector>
  </HeadingPairs>
  <TitlesOfParts>
    <vt:vector size="8" baseType="lpstr">
      <vt:lpstr>נתוני מסלקה פנסיונית</vt:lpstr>
      <vt:lpstr>מכתב למס הכנסה</vt:lpstr>
      <vt:lpstr>נתונים נוספים</vt:lpstr>
      <vt:lpstr>מסמכים הייטק בע"מ</vt:lpstr>
      <vt:lpstr>161 צהל</vt:lpstr>
      <vt:lpstr>תלוש קצבה מצהל</vt:lpstr>
      <vt:lpstr>מכתב היוון ממופת</vt:lpstr>
      <vt:lpstr>אישור מס הכנסה קיבוע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2021-03-16T07:49:01Z</cp:lastPrinted>
  <dcterms:created xsi:type="dcterms:W3CDTF">2020-09-10T14:13:14Z</dcterms:created>
  <dcterms:modified xsi:type="dcterms:W3CDTF">2021-03-16T10:17:57Z</dcterms:modified>
</cp:coreProperties>
</file>