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ליאת - הרצאות\המכללה לתכנון פרישה ולפיננסים\קורס אינטרנטי - תכנון פרישה\שיעורי תרגול - קורס אינטרנטי\תרגילים מסכמים - מיסוי ופנסיוני\"/>
    </mc:Choice>
  </mc:AlternateContent>
  <xr:revisionPtr revIDLastSave="0" documentId="13_ncr:1_{66AFEB2B-67BB-42B0-AEB5-57ACFF2A80EE}" xr6:coauthVersionLast="46" xr6:coauthVersionMax="46" xr10:uidLastSave="{00000000-0000-0000-0000-000000000000}"/>
  <bookViews>
    <workbookView xWindow="-120" yWindow="-120" windowWidth="29040" windowHeight="15840" tabRatio="753" xr2:uid="{00000000-000D-0000-FFFF-FFFF00000000}"/>
  </bookViews>
  <sheets>
    <sheet name="נתוני מסלקה" sheetId="1" r:id="rId1"/>
    <sheet name="נתונים נוספים" sheetId="2" r:id="rId2"/>
    <sheet name="דרכי פעולה" sheetId="8" r:id="rId3"/>
    <sheet name="חשמל בעמ -מסמכים" sheetId="4" r:id="rId4"/>
    <sheet name="מדרגות מס 2021" sheetId="9" r:id="rId5"/>
    <sheet name="אישור נכות זמנית" sheetId="10" r:id="rId6"/>
    <sheet name="פריסה" sheetId="11" r:id="rId7"/>
  </sheets>
  <calcPr calcId="181029"/>
</workbook>
</file>

<file path=xl/calcChain.xml><?xml version="1.0" encoding="utf-8"?>
<calcChain xmlns="http://schemas.openxmlformats.org/spreadsheetml/2006/main">
  <c r="G16" i="11" l="1"/>
  <c r="G15" i="11"/>
  <c r="G14" i="11"/>
  <c r="G13" i="11"/>
  <c r="H3" i="2"/>
  <c r="K32" i="11"/>
  <c r="J32" i="11"/>
  <c r="C32" i="11"/>
  <c r="G30" i="11"/>
  <c r="G31" i="11"/>
  <c r="E31" i="11"/>
  <c r="E30" i="11"/>
  <c r="J17" i="11"/>
  <c r="C17" i="11"/>
  <c r="E16" i="11"/>
  <c r="E15" i="11"/>
  <c r="E14" i="11"/>
  <c r="E13" i="11"/>
  <c r="E12" i="11"/>
  <c r="E29" i="11" s="1"/>
  <c r="C16" i="11"/>
  <c r="C15" i="11"/>
  <c r="C14" i="11"/>
  <c r="C13" i="11"/>
  <c r="D37" i="11"/>
  <c r="R32" i="10"/>
  <c r="P25" i="10"/>
  <c r="Q28" i="10"/>
  <c r="O28" i="10"/>
  <c r="D23" i="11"/>
  <c r="F11" i="11" s="1"/>
  <c r="F28" i="11" s="1"/>
  <c r="I20" i="11"/>
  <c r="E11" i="11"/>
  <c r="E28" i="11" s="1"/>
  <c r="D11" i="11"/>
  <c r="D28" i="11" s="1"/>
  <c r="C5" i="11"/>
  <c r="C11" i="11" s="1"/>
  <c r="J11" i="11" s="1"/>
  <c r="H42" i="1"/>
  <c r="J38" i="1"/>
  <c r="D38" i="1"/>
  <c r="D37" i="1"/>
  <c r="E29" i="1"/>
  <c r="P20" i="10"/>
  <c r="O15" i="10"/>
  <c r="Q12" i="10"/>
  <c r="P10" i="10"/>
  <c r="P9" i="10"/>
  <c r="P7" i="10"/>
  <c r="J17" i="1"/>
  <c r="J16" i="1"/>
  <c r="G11" i="11" l="1"/>
  <c r="B22" i="11" s="1"/>
  <c r="B23" i="11" s="1"/>
  <c r="C28" i="11"/>
  <c r="G28" i="11"/>
  <c r="J28" i="11"/>
  <c r="C12" i="11"/>
  <c r="G12" i="11" l="1"/>
  <c r="J12" i="11"/>
  <c r="C29" i="11"/>
  <c r="C30" i="11"/>
  <c r="C31" i="11"/>
  <c r="G29" i="11" l="1"/>
  <c r="J29" i="11"/>
  <c r="J16" i="11"/>
  <c r="J15" i="11"/>
  <c r="J14" i="11"/>
  <c r="J13" i="11"/>
  <c r="K17" i="11"/>
  <c r="B3" i="2"/>
  <c r="M13" i="1"/>
  <c r="K13" i="1"/>
  <c r="L10" i="1"/>
  <c r="L8" i="1"/>
  <c r="L5" i="1"/>
  <c r="I30" i="1"/>
  <c r="D41" i="1" s="1"/>
  <c r="D32" i="1"/>
  <c r="E32" i="1"/>
  <c r="J30" i="11" l="1"/>
  <c r="J31" i="11"/>
  <c r="L13" i="1"/>
  <c r="D40" i="1"/>
  <c r="D42" i="1" s="1"/>
  <c r="D43" i="1" s="1"/>
  <c r="H39" i="1" s="1"/>
  <c r="H40" i="1" s="1"/>
  <c r="D38" i="11" l="1"/>
  <c r="D40" i="11" s="1"/>
  <c r="D45" i="1"/>
</calcChain>
</file>

<file path=xl/sharedStrings.xml><?xml version="1.0" encoding="utf-8"?>
<sst xmlns="http://schemas.openxmlformats.org/spreadsheetml/2006/main" count="189" uniqueCount="116">
  <si>
    <t>מספר פוליסה</t>
  </si>
  <si>
    <t>שם יצרן</t>
  </si>
  <si>
    <t>תאריך הצטרפות</t>
  </si>
  <si>
    <t>סוג מוצר פנסיוני</t>
  </si>
  <si>
    <t>סוג תוכנית/חשבון</t>
  </si>
  <si>
    <t>סטטוס</t>
  </si>
  <si>
    <t>שכיר</t>
  </si>
  <si>
    <t>בתוקף</t>
  </si>
  <si>
    <t>קופת גמל</t>
  </si>
  <si>
    <t>מוקפאת</t>
  </si>
  <si>
    <t>סה"כ</t>
  </si>
  <si>
    <t>תגמולי הון</t>
  </si>
  <si>
    <t>תגמולי קצבה</t>
  </si>
  <si>
    <t>שם המעסיק</t>
  </si>
  <si>
    <t>תיק ניכויים</t>
  </si>
  <si>
    <t>תקופת עבודה</t>
  </si>
  <si>
    <t>שנות עבודה שקדמו לתאריך גיל הזכאות</t>
  </si>
  <si>
    <t>מענקים פטורים בש"ח</t>
  </si>
  <si>
    <t>הערות</t>
  </si>
  <si>
    <t xml:space="preserve">להלן חישוב יתרת ההון הפטורה לקצבה : </t>
  </si>
  <si>
    <t>סכום הקטנת ההון הפטור עקב קבלת "המענקים הפטורים"</t>
  </si>
  <si>
    <t>היוונים פטורים שבוצעו לפני תיקון 190</t>
  </si>
  <si>
    <r>
      <t xml:space="preserve">יתרת ההון הפטורה </t>
    </r>
    <r>
      <rPr>
        <sz val="8"/>
        <color theme="1"/>
        <rFont val="Arial"/>
        <family val="2"/>
        <scheme val="minor"/>
      </rPr>
      <t>(שורה 1 פחות שורה 2 פחות שורה 3)</t>
    </r>
  </si>
  <si>
    <t>סכום ההיוון הפטור של הקצבה כמבוקש על ידך</t>
  </si>
  <si>
    <r>
      <t xml:space="preserve">יתרת ההון הפטורה לקצבה </t>
    </r>
    <r>
      <rPr>
        <sz val="8"/>
        <color theme="1"/>
        <rFont val="Arial"/>
        <family val="2"/>
        <scheme val="minor"/>
      </rPr>
      <t>(שורה 4 פחות שורה 5)</t>
    </r>
  </si>
  <si>
    <t>סכום הקצבה הפטור לחודש</t>
  </si>
  <si>
    <t>תקרת הקצבה המזכה</t>
  </si>
  <si>
    <r>
      <t xml:space="preserve">שיעור הפטור מתקרת הקצבה המזכה </t>
    </r>
    <r>
      <rPr>
        <sz val="8"/>
        <color theme="1"/>
        <rFont val="Arial"/>
        <family val="2"/>
        <scheme val="minor"/>
      </rPr>
      <t>(שורה 7 מחולקת בשורה 8)</t>
    </r>
  </si>
  <si>
    <t>להלן פרטים לגבי המעסיקים מהם קיבל מענקים פטורים ב- 32 השנים שקדמו לגיל הזכאות:</t>
  </si>
  <si>
    <t xml:space="preserve">תאריך גיל הזכאות - </t>
  </si>
  <si>
    <t>מס לתשלום</t>
  </si>
  <si>
    <t>סוג פוליסה</t>
  </si>
  <si>
    <t>תאריך סטטוס</t>
  </si>
  <si>
    <t>סה"כ הפרשות</t>
  </si>
  <si>
    <t>01/10/2020</t>
  </si>
  <si>
    <t>שוק ההון</t>
  </si>
  <si>
    <t>קרן השתלמות</t>
  </si>
  <si>
    <t>ת.לידה:</t>
  </si>
  <si>
    <t>לפי הנמוך</t>
  </si>
  <si>
    <r>
      <t xml:space="preserve">סכום ההון הפטור - </t>
    </r>
    <r>
      <rPr>
        <sz val="11"/>
        <color rgb="FFFF0000"/>
        <rFont val="Arial"/>
        <family val="2"/>
        <scheme val="minor"/>
      </rPr>
      <t>לפי נתוני 2021</t>
    </r>
  </si>
  <si>
    <t>טבלת היוונים</t>
  </si>
  <si>
    <t>קצבה ברוטו</t>
  </si>
  <si>
    <t>פטור</t>
  </si>
  <si>
    <t xml:space="preserve">קצבה חייבת </t>
  </si>
  <si>
    <t xml:space="preserve">קבלת פנסיה לראשונה </t>
  </si>
  <si>
    <r>
      <t xml:space="preserve">תאריך "גיל הזכאות" - </t>
    </r>
    <r>
      <rPr>
        <b/>
        <u/>
        <sz val="12"/>
        <color indexed="8"/>
        <rFont val="Arial"/>
        <family val="2"/>
      </rPr>
      <t>לפי המאוחר מבין:</t>
    </r>
  </si>
  <si>
    <t>גיל פרישה (62)</t>
  </si>
  <si>
    <t>שם לקוח</t>
  </si>
  <si>
    <t>סה"כ ערכי פדיון</t>
  </si>
  <si>
    <t>הראל פנסיה וגמל בע"מ</t>
  </si>
  <si>
    <t>01/01/2007</t>
  </si>
  <si>
    <t>עצמאי</t>
  </si>
  <si>
    <t>אלטשולר שחם גמל ופנסיה בע"מ</t>
  </si>
  <si>
    <t>15/02/2018</t>
  </si>
  <si>
    <t>28/12/2020</t>
  </si>
  <si>
    <t>15/03/2018</t>
  </si>
  <si>
    <t>12/04/2018</t>
  </si>
  <si>
    <t>29/08/2013</t>
  </si>
  <si>
    <t>01/12/1991</t>
  </si>
  <si>
    <t>17/05/2018</t>
  </si>
  <si>
    <t xml:space="preserve">קצבה ברוטו צפויה </t>
  </si>
  <si>
    <t>ריקי גבריאל</t>
  </si>
  <si>
    <t>גרושה</t>
  </si>
  <si>
    <t>הנ"ל פורשת חשמל בע"מ</t>
  </si>
  <si>
    <t>תאריך פרישה ממקום העבודה 31.3.2021</t>
  </si>
  <si>
    <t>מקבלת פנסיה תקציבית החל מתאריך - 1.4.2021</t>
  </si>
  <si>
    <t>חשמל בע"מ</t>
  </si>
  <si>
    <t>סה"כ מענק פרישה חייב במס</t>
  </si>
  <si>
    <t>שנות עבודה</t>
  </si>
  <si>
    <t>שנות פריסה</t>
  </si>
  <si>
    <t>הכנסה צפויה חייבת במס</t>
  </si>
  <si>
    <t>מס'</t>
  </si>
  <si>
    <t>שנה</t>
  </si>
  <si>
    <t>הכנסה מפריסה</t>
  </si>
  <si>
    <t>משכורת</t>
  </si>
  <si>
    <t>סה"כ הכנסה</t>
  </si>
  <si>
    <t>פיצויים נטו</t>
  </si>
  <si>
    <t>פנסיה</t>
  </si>
  <si>
    <t>מעסיק - חשמל בע"מ</t>
  </si>
  <si>
    <t>פריסת מענק חייב :</t>
  </si>
  <si>
    <t>מס על סך ההכנסה</t>
  </si>
  <si>
    <t>מס לתשלום על מענק הפרישה</t>
  </si>
  <si>
    <t>סה"כ פיצויים</t>
  </si>
  <si>
    <t>פטור 9(7א)</t>
  </si>
  <si>
    <t>פיצויים חייבים במס</t>
  </si>
  <si>
    <t>חישוב פטור 9(5) - פטור הקטן:</t>
  </si>
  <si>
    <t>סה"כ הכנסה מיגיעה אישית</t>
  </si>
  <si>
    <t>פנסיה החל מ- 1.4.2021</t>
  </si>
  <si>
    <t>משכורת עד 31.3.2021</t>
  </si>
  <si>
    <t>חישוב הכנסה לתקופת הנכות באופן יחסי</t>
  </si>
  <si>
    <t>הכנסה באופן יחסי</t>
  </si>
  <si>
    <t>תקרה</t>
  </si>
  <si>
    <t>הכנסה חייבת בשנת 2021</t>
  </si>
  <si>
    <t>ללא הפריסה</t>
  </si>
  <si>
    <t>החלטה:</t>
  </si>
  <si>
    <t>בחירה 8(2) בטופס 161ד - הגדלת הפטור לצורך היוון</t>
  </si>
  <si>
    <t>היתרה - מעבר בין דורי פטור או משיכה כדין - אפשרות פריסה</t>
  </si>
  <si>
    <t>נטו</t>
  </si>
  <si>
    <t>מס על המשכורת והפנסיה</t>
  </si>
  <si>
    <t>פטור 9(5) - קטן</t>
  </si>
  <si>
    <t>פריסה ל- 4 שנים</t>
  </si>
  <si>
    <t>פריסת מענק חייב ל- 4 שנות פריסה</t>
  </si>
  <si>
    <t>חישוב החיסכון:</t>
  </si>
  <si>
    <t>מס על מענק הפרישה ללא פריסה</t>
  </si>
  <si>
    <t>מס על המענק בפריסה</t>
  </si>
  <si>
    <t>משכורת ופנסיה</t>
  </si>
  <si>
    <t>מענק פרישה</t>
  </si>
  <si>
    <t>לאחר פטור קצבה מזכה ופטור נכה</t>
  </si>
  <si>
    <t>סה"כ מס על ההכנסה השנתית הכוללת</t>
  </si>
  <si>
    <t>מס על משכורת ופנסיה</t>
  </si>
  <si>
    <t>מס על מענק הפרישה החייב במס</t>
  </si>
  <si>
    <t>חיסכון</t>
  </si>
  <si>
    <t>1.4.2021</t>
  </si>
  <si>
    <t>17.5.2020</t>
  </si>
  <si>
    <t>הסכום להיוון בפטור בשנת 2025</t>
  </si>
  <si>
    <t>שנות וותק בחשמל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</si>
</sst>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0" x14ac:knownFonts="1">
    <font>
      <sz val="11"/>
      <color indexed="8"/>
      <name val="Arial"/>
    </font>
    <font>
      <sz val="11"/>
      <color indexed="8"/>
      <name val="Arial"/>
      <family val="2"/>
    </font>
    <font>
      <sz val="11"/>
      <color indexed="8"/>
      <name val="Arial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8"/>
      <color theme="1"/>
      <name val="Arial"/>
      <family val="2"/>
      <scheme val="minor"/>
    </font>
    <font>
      <sz val="12"/>
      <color theme="5"/>
      <name val="Arial"/>
      <family val="2"/>
    </font>
    <font>
      <sz val="11"/>
      <color theme="5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E8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 applyFill="1" applyProtection="1"/>
    <xf numFmtId="0" fontId="0" fillId="0" borderId="0" xfId="0"/>
    <xf numFmtId="3" fontId="0" fillId="0" borderId="1" xfId="0" applyNumberFormat="1" applyFill="1" applyBorder="1" applyProtection="1"/>
    <xf numFmtId="0" fontId="1" fillId="0" borderId="0" xfId="0" applyFont="1"/>
    <xf numFmtId="0" fontId="3" fillId="0" borderId="0" xfId="0" applyFont="1" applyFill="1" applyProtection="1"/>
    <xf numFmtId="0" fontId="4" fillId="0" borderId="0" xfId="0" applyFont="1" applyFill="1" applyProtection="1"/>
    <xf numFmtId="14" fontId="3" fillId="0" borderId="0" xfId="0" applyNumberFormat="1" applyFont="1" applyFill="1" applyProtection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 readingOrder="2"/>
    </xf>
    <xf numFmtId="0" fontId="0" fillId="0" borderId="1" xfId="0" applyBorder="1"/>
    <xf numFmtId="164" fontId="0" fillId="0" borderId="1" xfId="1" applyNumberFormat="1" applyFont="1" applyBorder="1"/>
    <xf numFmtId="164" fontId="6" fillId="0" borderId="5" xfId="1" applyNumberFormat="1" applyFont="1" applyBorder="1"/>
    <xf numFmtId="14" fontId="0" fillId="0" borderId="0" xfId="0" applyNumberFormat="1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Border="1" applyAlignment="1"/>
    <xf numFmtId="164" fontId="0" fillId="0" borderId="6" xfId="1" applyNumberFormat="1" applyFont="1" applyBorder="1" applyAlignment="1">
      <alignment horizontal="right"/>
    </xf>
    <xf numFmtId="0" fontId="0" fillId="4" borderId="0" xfId="0" applyFill="1" applyAlignment="1">
      <alignment horizontal="center"/>
    </xf>
    <xf numFmtId="164" fontId="6" fillId="4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6" fillId="4" borderId="2" xfId="1" applyNumberFormat="1" applyFont="1" applyFill="1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0" fontId="1" fillId="0" borderId="0" xfId="0" applyFont="1" applyAlignment="1">
      <alignment horizontal="right" readingOrder="2"/>
    </xf>
    <xf numFmtId="0" fontId="11" fillId="0" borderId="0" xfId="0" applyFont="1" applyFill="1" applyProtection="1"/>
    <xf numFmtId="0" fontId="1" fillId="0" borderId="1" xfId="0" applyFont="1" applyBorder="1" applyAlignment="1">
      <alignment horizontal="right" readingOrder="2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2" fillId="0" borderId="0" xfId="0" applyFont="1"/>
    <xf numFmtId="0" fontId="0" fillId="2" borderId="1" xfId="0" applyFill="1" applyBorder="1" applyProtection="1"/>
    <xf numFmtId="0" fontId="0" fillId="0" borderId="1" xfId="0" applyFill="1" applyBorder="1" applyProtection="1"/>
    <xf numFmtId="3" fontId="0" fillId="2" borderId="1" xfId="0" applyNumberFormat="1" applyFill="1" applyBorder="1" applyProtection="1"/>
    <xf numFmtId="0" fontId="13" fillId="5" borderId="0" xfId="0" applyFont="1" applyFill="1" applyAlignment="1" applyProtection="1">
      <alignment horizontal="right" vertical="center" wrapText="1" indent="1"/>
    </xf>
    <xf numFmtId="14" fontId="14" fillId="6" borderId="0" xfId="0" applyNumberFormat="1" applyFont="1" applyFill="1" applyAlignment="1" applyProtection="1">
      <alignment vertical="top" wrapText="1"/>
    </xf>
    <xf numFmtId="14" fontId="3" fillId="2" borderId="0" xfId="0" applyNumberFormat="1" applyFont="1" applyFill="1" applyProtection="1"/>
    <xf numFmtId="0" fontId="0" fillId="3" borderId="1" xfId="0" applyFill="1" applyBorder="1" applyProtection="1"/>
    <xf numFmtId="0" fontId="1" fillId="0" borderId="0" xfId="0" applyFont="1" applyFill="1" applyProtection="1"/>
    <xf numFmtId="164" fontId="0" fillId="0" borderId="0" xfId="0" applyNumberFormat="1"/>
    <xf numFmtId="164" fontId="0" fillId="0" borderId="2" xfId="0" applyNumberFormat="1" applyBorder="1"/>
    <xf numFmtId="3" fontId="0" fillId="0" borderId="1" xfId="0" applyNumberFormat="1" applyBorder="1"/>
    <xf numFmtId="0" fontId="15" fillId="0" borderId="0" xfId="0" applyFont="1"/>
    <xf numFmtId="43" fontId="0" fillId="0" borderId="0" xfId="0" applyNumberFormat="1"/>
    <xf numFmtId="43" fontId="0" fillId="0" borderId="0" xfId="0" applyNumberFormat="1" applyFill="1" applyProtection="1"/>
    <xf numFmtId="0" fontId="0" fillId="0" borderId="0" xfId="0" applyFont="1" applyAlignment="1">
      <alignment horizontal="left"/>
    </xf>
    <xf numFmtId="0" fontId="1" fillId="7" borderId="1" xfId="0" applyFont="1" applyFill="1" applyBorder="1"/>
    <xf numFmtId="3" fontId="0" fillId="7" borderId="1" xfId="0" applyNumberFormat="1" applyFill="1" applyBorder="1"/>
    <xf numFmtId="0" fontId="6" fillId="7" borderId="3" xfId="0" applyFont="1" applyFill="1" applyBorder="1" applyAlignment="1"/>
    <xf numFmtId="0" fontId="6" fillId="7" borderId="4" xfId="0" applyFont="1" applyFill="1" applyBorder="1" applyAlignment="1"/>
    <xf numFmtId="164" fontId="6" fillId="7" borderId="3" xfId="1" applyNumberFormat="1" applyFont="1" applyFill="1" applyBorder="1"/>
    <xf numFmtId="164" fontId="0" fillId="0" borderId="0" xfId="1" applyNumberFormat="1" applyFont="1" applyFill="1" applyProtection="1"/>
    <xf numFmtId="164" fontId="1" fillId="0" borderId="1" xfId="1" applyNumberFormat="1" applyFont="1" applyBorder="1" applyAlignment="1">
      <alignment horizontal="right" wrapText="1"/>
    </xf>
    <xf numFmtId="0" fontId="6" fillId="7" borderId="1" xfId="0" applyFont="1" applyFill="1" applyBorder="1" applyAlignment="1"/>
    <xf numFmtId="0" fontId="1" fillId="2" borderId="1" xfId="0" applyFont="1" applyFill="1" applyBorder="1" applyProtection="1"/>
    <xf numFmtId="3" fontId="0" fillId="0" borderId="0" xfId="0" applyNumberFormat="1" applyFill="1" applyProtection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/>
    <xf numFmtId="164" fontId="0" fillId="0" borderId="0" xfId="1" applyNumberFormat="1" applyFont="1" applyFill="1" applyBorder="1"/>
    <xf numFmtId="43" fontId="0" fillId="0" borderId="0" xfId="0" applyNumberFormat="1" applyFill="1" applyBorder="1" applyProtection="1"/>
    <xf numFmtId="0" fontId="0" fillId="0" borderId="0" xfId="0" applyFill="1" applyBorder="1" applyProtection="1"/>
    <xf numFmtId="14" fontId="3" fillId="0" borderId="0" xfId="0" applyNumberFormat="1" applyFont="1" applyFill="1" applyBorder="1" applyProtection="1"/>
    <xf numFmtId="0" fontId="17" fillId="0" borderId="0" xfId="0" applyFont="1" applyFill="1" applyProtection="1"/>
    <xf numFmtId="0" fontId="1" fillId="0" borderId="1" xfId="0" applyFont="1" applyFill="1" applyBorder="1" applyProtection="1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164" fontId="0" fillId="0" borderId="7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6" fillId="0" borderId="1" xfId="0" applyFont="1" applyBorder="1" applyAlignment="1">
      <alignment horizontal="right" readingOrder="2"/>
    </xf>
    <xf numFmtId="0" fontId="0" fillId="0" borderId="1" xfId="0" applyBorder="1" applyAlignment="1">
      <alignment horizontal="right" readingOrder="2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/>
    <xf numFmtId="43" fontId="0" fillId="0" borderId="1" xfId="0" applyNumberFormat="1" applyBorder="1"/>
    <xf numFmtId="10" fontId="0" fillId="0" borderId="0" xfId="0" applyNumberFormat="1"/>
    <xf numFmtId="0" fontId="6" fillId="0" borderId="1" xfId="0" applyFont="1" applyBorder="1" applyAlignment="1">
      <alignment horizontal="right" wrapText="1" readingOrder="2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Protection="1"/>
    <xf numFmtId="164" fontId="0" fillId="0" borderId="0" xfId="0" applyNumberFormat="1" applyFill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164" fontId="0" fillId="0" borderId="0" xfId="1" applyNumberFormat="1" applyFont="1" applyFill="1" applyBorder="1" applyProtection="1"/>
    <xf numFmtId="0" fontId="0" fillId="8" borderId="0" xfId="0" applyFill="1" applyBorder="1" applyProtection="1"/>
    <xf numFmtId="0" fontId="1" fillId="0" borderId="12" xfId="0" applyFont="1" applyFill="1" applyBorder="1" applyProtection="1"/>
    <xf numFmtId="164" fontId="0" fillId="0" borderId="0" xfId="0" applyNumberFormat="1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17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0" xfId="0" applyBorder="1"/>
    <xf numFmtId="0" fontId="0" fillId="0" borderId="19" xfId="0" applyBorder="1"/>
    <xf numFmtId="0" fontId="1" fillId="0" borderId="0" xfId="0" applyFont="1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164" fontId="0" fillId="0" borderId="5" xfId="1" applyNumberFormat="1" applyFont="1" applyBorder="1"/>
    <xf numFmtId="0" fontId="5" fillId="0" borderId="1" xfId="0" applyFont="1" applyBorder="1" applyAlignment="1">
      <alignment horizontal="right" readingOrder="2"/>
    </xf>
    <xf numFmtId="164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18" fillId="0" borderId="1" xfId="0" applyFont="1" applyBorder="1"/>
    <xf numFmtId="43" fontId="0" fillId="0" borderId="17" xfId="0" applyNumberFormat="1" applyBorder="1"/>
    <xf numFmtId="0" fontId="3" fillId="9" borderId="0" xfId="0" applyFont="1" applyFill="1" applyProtection="1"/>
    <xf numFmtId="0" fontId="19" fillId="0" borderId="0" xfId="0" applyFont="1" applyBorder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11" xfId="0" applyFill="1" applyBorder="1" applyProtection="1"/>
    <xf numFmtId="0" fontId="17" fillId="4" borderId="0" xfId="0" applyFont="1" applyFill="1" applyBorder="1" applyProtection="1"/>
    <xf numFmtId="0" fontId="0" fillId="4" borderId="0" xfId="0" applyFill="1" applyBorder="1" applyProtection="1"/>
    <xf numFmtId="0" fontId="0" fillId="4" borderId="12" xfId="0" applyFill="1" applyBorder="1" applyProtection="1"/>
    <xf numFmtId="0" fontId="1" fillId="4" borderId="0" xfId="0" applyFont="1" applyFill="1" applyBorder="1" applyProtection="1"/>
    <xf numFmtId="164" fontId="0" fillId="4" borderId="0" xfId="1" applyNumberFormat="1" applyFont="1" applyFill="1" applyBorder="1" applyProtection="1"/>
    <xf numFmtId="164" fontId="0" fillId="4" borderId="2" xfId="1" applyNumberFormat="1" applyFont="1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164" fontId="0" fillId="4" borderId="14" xfId="1" applyNumberFormat="1" applyFont="1" applyFill="1" applyBorder="1" applyProtection="1"/>
    <xf numFmtId="0" fontId="0" fillId="4" borderId="15" xfId="0" applyFill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37</xdr:row>
      <xdr:rowOff>9525</xdr:rowOff>
    </xdr:from>
    <xdr:to>
      <xdr:col>10</xdr:col>
      <xdr:colOff>38100</xdr:colOff>
      <xdr:row>37</xdr:row>
      <xdr:rowOff>180975</xdr:rowOff>
    </xdr:to>
    <xdr:cxnSp macro="">
      <xdr:nvCxnSpPr>
        <xdr:cNvPr id="3" name="מחבר חץ ישר 2">
          <a:extLst>
            <a:ext uri="{FF2B5EF4-FFF2-40B4-BE49-F238E27FC236}">
              <a16:creationId xmlns:a16="http://schemas.microsoft.com/office/drawing/2014/main" id="{2E495E4C-8DDC-4936-91CA-12699B4B9457}"/>
            </a:ext>
          </a:extLst>
        </xdr:cNvPr>
        <xdr:cNvCxnSpPr/>
      </xdr:nvCxnSpPr>
      <xdr:spPr>
        <a:xfrm>
          <a:off x="11232518175" y="8010525"/>
          <a:ext cx="5619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17</xdr:col>
      <xdr:colOff>8111</xdr:colOff>
      <xdr:row>39</xdr:row>
      <xdr:rowOff>102021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1AA161E-E87A-4B80-B419-7D2BC97CD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2689139" y="0"/>
          <a:ext cx="11314286" cy="678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91742</xdr:colOff>
      <xdr:row>114</xdr:row>
      <xdr:rowOff>88900</xdr:rowOff>
    </xdr:to>
    <xdr:pic>
      <xdr:nvPicPr>
        <xdr:cNvPr id="12" name="תמונה 11">
          <a:extLst>
            <a:ext uri="{FF2B5EF4-FFF2-40B4-BE49-F238E27FC236}">
              <a16:creationId xmlns:a16="http://schemas.microsoft.com/office/drawing/2014/main" id="{4017726D-17D3-41D4-8992-9A6322D0C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1151158" y="0"/>
          <a:ext cx="16919242" cy="20358100"/>
        </a:xfrm>
        <a:prstGeom prst="rect">
          <a:avLst/>
        </a:prstGeom>
      </xdr:spPr>
    </xdr:pic>
    <xdr:clientData/>
  </xdr:twoCellAnchor>
  <xdr:twoCellAnchor editAs="oneCell">
    <xdr:from>
      <xdr:col>23</xdr:col>
      <xdr:colOff>190499</xdr:colOff>
      <xdr:row>0</xdr:row>
      <xdr:rowOff>0</xdr:rowOff>
    </xdr:from>
    <xdr:to>
      <xdr:col>49</xdr:col>
      <xdr:colOff>266699</xdr:colOff>
      <xdr:row>117</xdr:row>
      <xdr:rowOff>107985</xdr:rowOff>
    </xdr:to>
    <xdr:pic>
      <xdr:nvPicPr>
        <xdr:cNvPr id="21" name="תמונה 20">
          <a:extLst>
            <a:ext uri="{FF2B5EF4-FFF2-40B4-BE49-F238E27FC236}">
              <a16:creationId xmlns:a16="http://schemas.microsoft.com/office/drawing/2014/main" id="{C79BB6B4-4FE5-40C4-A7E2-D1BB218A8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4821801" y="0"/>
          <a:ext cx="17576800" cy="20910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379324</xdr:colOff>
      <xdr:row>22</xdr:row>
      <xdr:rowOff>104264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29A877C-143D-4548-AA92-773A5C49E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2737676" y="0"/>
          <a:ext cx="13409524" cy="40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9</xdr:col>
      <xdr:colOff>650691</xdr:colOff>
      <xdr:row>38</xdr:row>
      <xdr:rowOff>96332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860BB267-C773-45EA-A859-3F52A9711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7380559" y="47625"/>
          <a:ext cx="6556191" cy="6579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rightToLeft="1" tabSelected="1" workbookViewId="0">
      <selection activeCell="B22" sqref="B22"/>
    </sheetView>
  </sheetViews>
  <sheetFormatPr defaultRowHeight="14.25" x14ac:dyDescent="0.2"/>
  <cols>
    <col min="1" max="1" width="15.5" customWidth="1"/>
    <col min="2" max="2" width="22.75" customWidth="1"/>
    <col min="3" max="3" width="16.5" customWidth="1"/>
    <col min="4" max="4" width="12.75" bestFit="1" customWidth="1"/>
    <col min="5" max="5" width="16.5" customWidth="1"/>
    <col min="6" max="6" width="14" customWidth="1"/>
    <col min="7" max="7" width="9.125" customWidth="1"/>
    <col min="8" max="8" width="11.125" bestFit="1" customWidth="1"/>
    <col min="9" max="9" width="11.875" customWidth="1"/>
    <col min="10" max="10" width="15.125" bestFit="1" customWidth="1"/>
    <col min="11" max="11" width="15.25" customWidth="1"/>
    <col min="12" max="14" width="11.25" bestFit="1" customWidth="1"/>
    <col min="15" max="253" width="9.125" customWidth="1"/>
  </cols>
  <sheetData>
    <row r="1" spans="1:14" ht="15" x14ac:dyDescent="0.25">
      <c r="A1" s="64" t="s">
        <v>61</v>
      </c>
    </row>
    <row r="3" spans="1:14" x14ac:dyDescent="0.2">
      <c r="A3" s="32" t="s">
        <v>0</v>
      </c>
      <c r="B3" s="32" t="s">
        <v>1</v>
      </c>
      <c r="C3" s="32" t="s">
        <v>47</v>
      </c>
      <c r="D3" s="32" t="s">
        <v>2</v>
      </c>
      <c r="E3" s="32" t="s">
        <v>31</v>
      </c>
      <c r="F3" s="32" t="s">
        <v>3</v>
      </c>
      <c r="G3" s="32" t="s">
        <v>4</v>
      </c>
      <c r="H3" s="32" t="s">
        <v>5</v>
      </c>
      <c r="I3" s="32" t="s">
        <v>32</v>
      </c>
      <c r="J3" s="32" t="s">
        <v>33</v>
      </c>
      <c r="K3" s="32" t="s">
        <v>48</v>
      </c>
      <c r="L3" s="55" t="s">
        <v>11</v>
      </c>
      <c r="M3" s="55" t="s">
        <v>12</v>
      </c>
    </row>
    <row r="4" spans="1:14" x14ac:dyDescent="0.2">
      <c r="A4" s="38"/>
      <c r="B4" s="33" t="s">
        <v>49</v>
      </c>
      <c r="C4" s="33" t="s">
        <v>61</v>
      </c>
      <c r="D4" s="33" t="s">
        <v>50</v>
      </c>
      <c r="E4" s="33" t="s">
        <v>35</v>
      </c>
      <c r="F4" s="33" t="s">
        <v>8</v>
      </c>
      <c r="G4" s="33" t="s">
        <v>51</v>
      </c>
      <c r="H4" s="33" t="s">
        <v>7</v>
      </c>
      <c r="I4" s="33" t="s">
        <v>34</v>
      </c>
      <c r="J4" s="33">
        <v>2727.94</v>
      </c>
      <c r="K4" s="2">
        <v>200524.84</v>
      </c>
      <c r="L4" s="2">
        <v>12429.92</v>
      </c>
      <c r="M4" s="2">
        <v>188094.92</v>
      </c>
    </row>
    <row r="5" spans="1:14" x14ac:dyDescent="0.2">
      <c r="A5" s="38"/>
      <c r="B5" s="33" t="s">
        <v>52</v>
      </c>
      <c r="C5" s="33" t="s">
        <v>61</v>
      </c>
      <c r="D5" s="33" t="s">
        <v>53</v>
      </c>
      <c r="E5" s="33" t="s">
        <v>35</v>
      </c>
      <c r="F5" s="33" t="s">
        <v>8</v>
      </c>
      <c r="G5" s="33" t="s">
        <v>51</v>
      </c>
      <c r="H5" s="33" t="s">
        <v>9</v>
      </c>
      <c r="I5" s="33" t="s">
        <v>54</v>
      </c>
      <c r="J5" s="33">
        <v>0</v>
      </c>
      <c r="K5" s="2">
        <v>9373.92</v>
      </c>
      <c r="L5" s="2">
        <f>K5-M5</f>
        <v>1112.83</v>
      </c>
      <c r="M5" s="2">
        <v>8261.09</v>
      </c>
    </row>
    <row r="6" spans="1:14" x14ac:dyDescent="0.2">
      <c r="A6" s="38"/>
      <c r="B6" s="33" t="s">
        <v>52</v>
      </c>
      <c r="C6" s="33" t="s">
        <v>61</v>
      </c>
      <c r="D6" s="33" t="s">
        <v>53</v>
      </c>
      <c r="E6" s="33" t="s">
        <v>35</v>
      </c>
      <c r="F6" s="33" t="s">
        <v>8</v>
      </c>
      <c r="G6" s="33" t="s">
        <v>51</v>
      </c>
      <c r="H6" s="33" t="s">
        <v>9</v>
      </c>
      <c r="I6" s="33" t="s">
        <v>54</v>
      </c>
      <c r="J6" s="33">
        <v>0</v>
      </c>
      <c r="K6" s="2">
        <v>2213.88</v>
      </c>
      <c r="L6" s="2">
        <v>2213.88</v>
      </c>
      <c r="M6" s="2"/>
    </row>
    <row r="7" spans="1:14" x14ac:dyDescent="0.2">
      <c r="A7" s="38"/>
      <c r="B7" s="33" t="s">
        <v>52</v>
      </c>
      <c r="C7" s="33" t="s">
        <v>61</v>
      </c>
      <c r="D7" s="33" t="s">
        <v>53</v>
      </c>
      <c r="E7" s="33" t="s">
        <v>35</v>
      </c>
      <c r="F7" s="33" t="s">
        <v>8</v>
      </c>
      <c r="G7" s="33" t="s">
        <v>51</v>
      </c>
      <c r="H7" s="33" t="s">
        <v>9</v>
      </c>
      <c r="I7" s="33" t="s">
        <v>54</v>
      </c>
      <c r="J7" s="33">
        <v>0</v>
      </c>
      <c r="K7" s="2">
        <v>1439.69</v>
      </c>
      <c r="L7" s="2">
        <v>1439.69</v>
      </c>
      <c r="M7" s="2"/>
    </row>
    <row r="8" spans="1:14" x14ac:dyDescent="0.2">
      <c r="A8" s="38"/>
      <c r="B8" s="33" t="s">
        <v>52</v>
      </c>
      <c r="C8" s="33" t="s">
        <v>61</v>
      </c>
      <c r="D8" s="33" t="s">
        <v>53</v>
      </c>
      <c r="E8" s="33" t="s">
        <v>35</v>
      </c>
      <c r="F8" s="33" t="s">
        <v>8</v>
      </c>
      <c r="G8" s="33" t="s">
        <v>51</v>
      </c>
      <c r="H8" s="33" t="s">
        <v>9</v>
      </c>
      <c r="I8" s="33" t="s">
        <v>54</v>
      </c>
      <c r="J8" s="33">
        <v>0</v>
      </c>
      <c r="K8" s="2">
        <v>1994.93</v>
      </c>
      <c r="L8" s="2">
        <f>K8-M8</f>
        <v>282.91000000000008</v>
      </c>
      <c r="M8" s="2">
        <v>1712.02</v>
      </c>
    </row>
    <row r="9" spans="1:14" x14ac:dyDescent="0.2">
      <c r="A9" s="38"/>
      <c r="B9" s="33" t="s">
        <v>52</v>
      </c>
      <c r="C9" s="33" t="s">
        <v>61</v>
      </c>
      <c r="D9" s="33" t="s">
        <v>55</v>
      </c>
      <c r="E9" s="33" t="s">
        <v>35</v>
      </c>
      <c r="F9" s="33" t="s">
        <v>36</v>
      </c>
      <c r="G9" s="33" t="s">
        <v>6</v>
      </c>
      <c r="H9" s="33" t="s">
        <v>7</v>
      </c>
      <c r="I9" s="33" t="s">
        <v>54</v>
      </c>
      <c r="J9" s="33">
        <v>1698.85</v>
      </c>
      <c r="K9" s="2">
        <v>110952.22</v>
      </c>
      <c r="L9" s="2">
        <v>110952.22</v>
      </c>
      <c r="M9" s="2"/>
    </row>
    <row r="10" spans="1:14" x14ac:dyDescent="0.2">
      <c r="A10" s="38"/>
      <c r="B10" s="33" t="s">
        <v>52</v>
      </c>
      <c r="C10" s="33" t="s">
        <v>61</v>
      </c>
      <c r="D10" s="33" t="s">
        <v>56</v>
      </c>
      <c r="E10" s="33" t="s">
        <v>35</v>
      </c>
      <c r="F10" s="33" t="s">
        <v>8</v>
      </c>
      <c r="G10" s="33" t="s">
        <v>6</v>
      </c>
      <c r="H10" s="33" t="s">
        <v>7</v>
      </c>
      <c r="I10" s="33" t="s">
        <v>54</v>
      </c>
      <c r="J10" s="33">
        <v>1271.8</v>
      </c>
      <c r="K10" s="2">
        <v>253416.53</v>
      </c>
      <c r="L10" s="2">
        <f>K10-M10</f>
        <v>122753.53</v>
      </c>
      <c r="M10" s="2">
        <v>130663</v>
      </c>
    </row>
    <row r="11" spans="1:14" x14ac:dyDescent="0.2">
      <c r="A11" s="38"/>
      <c r="B11" s="65" t="s">
        <v>66</v>
      </c>
      <c r="C11" s="33" t="s">
        <v>61</v>
      </c>
      <c r="D11" s="33" t="s">
        <v>57</v>
      </c>
      <c r="E11" s="33" t="s">
        <v>35</v>
      </c>
      <c r="F11" s="33" t="s">
        <v>36</v>
      </c>
      <c r="G11" s="33" t="s">
        <v>6</v>
      </c>
      <c r="H11" s="33" t="s">
        <v>9</v>
      </c>
      <c r="I11" s="33" t="s">
        <v>57</v>
      </c>
      <c r="J11" s="33">
        <v>0</v>
      </c>
      <c r="K11" s="2">
        <v>6038.06</v>
      </c>
      <c r="L11" s="2">
        <v>6038</v>
      </c>
      <c r="M11" s="2"/>
      <c r="N11" s="39"/>
    </row>
    <row r="12" spans="1:14" x14ac:dyDescent="0.2">
      <c r="A12" s="38"/>
      <c r="B12" s="33" t="s">
        <v>49</v>
      </c>
      <c r="C12" s="33" t="s">
        <v>61</v>
      </c>
      <c r="D12" s="33" t="s">
        <v>58</v>
      </c>
      <c r="E12" s="33" t="s">
        <v>35</v>
      </c>
      <c r="F12" s="33" t="s">
        <v>8</v>
      </c>
      <c r="G12" s="33" t="s">
        <v>51</v>
      </c>
      <c r="H12" s="33" t="s">
        <v>9</v>
      </c>
      <c r="I12" s="33" t="s">
        <v>59</v>
      </c>
      <c r="J12" s="33">
        <v>0</v>
      </c>
      <c r="K12" s="2">
        <v>2491.4</v>
      </c>
      <c r="L12" s="2"/>
      <c r="M12" s="2">
        <v>2491.4</v>
      </c>
    </row>
    <row r="13" spans="1:14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4">
        <f>SUM(K4:K12)</f>
        <v>588445.47000000009</v>
      </c>
      <c r="L13" s="34">
        <f>SUM(L4:L12)</f>
        <v>257222.97999999998</v>
      </c>
      <c r="M13" s="34">
        <f>SUM(M4:M12)</f>
        <v>331222.43000000005</v>
      </c>
    </row>
    <row r="15" spans="1:14" x14ac:dyDescent="0.2">
      <c r="H15" s="39" t="s">
        <v>82</v>
      </c>
      <c r="J15" s="52">
        <v>494352</v>
      </c>
    </row>
    <row r="16" spans="1:14" x14ac:dyDescent="0.2">
      <c r="B16" s="35" t="s">
        <v>37</v>
      </c>
      <c r="C16" s="36">
        <v>21322</v>
      </c>
      <c r="H16" s="80" t="s">
        <v>83</v>
      </c>
      <c r="J16" s="52">
        <f>12340*30.4072</f>
        <v>375224.848</v>
      </c>
    </row>
    <row r="17" spans="1:12" x14ac:dyDescent="0.2">
      <c r="H17" s="80" t="s">
        <v>84</v>
      </c>
      <c r="J17" s="52">
        <f>J15-J16</f>
        <v>119127.152</v>
      </c>
    </row>
    <row r="20" spans="1:12" x14ac:dyDescent="0.2">
      <c r="B20" s="39" t="s">
        <v>60</v>
      </c>
      <c r="C20" s="56">
        <v>13500</v>
      </c>
    </row>
    <row r="21" spans="1:12" x14ac:dyDescent="0.2">
      <c r="B21" s="39" t="s">
        <v>115</v>
      </c>
      <c r="C21">
        <v>30.407</v>
      </c>
      <c r="F21" s="56"/>
      <c r="G21" s="39"/>
      <c r="J21" s="39"/>
    </row>
    <row r="22" spans="1:12" x14ac:dyDescent="0.2">
      <c r="B22" s="39"/>
    </row>
    <row r="23" spans="1:12" x14ac:dyDescent="0.2">
      <c r="B23" s="39"/>
      <c r="C23" s="56"/>
      <c r="L23" s="56"/>
    </row>
    <row r="26" spans="1:12" s="1" customFormat="1" x14ac:dyDescent="0.2">
      <c r="A26" s="7" t="s">
        <v>28</v>
      </c>
      <c r="H26" s="43" t="s">
        <v>40</v>
      </c>
    </row>
    <row r="27" spans="1:12" s="1" customFormat="1" x14ac:dyDescent="0.2">
      <c r="A27" s="7"/>
    </row>
    <row r="28" spans="1:12" s="1" customFormat="1" ht="60" x14ac:dyDescent="0.25">
      <c r="A28" s="8" t="s">
        <v>13</v>
      </c>
      <c r="B28" s="8" t="s">
        <v>14</v>
      </c>
      <c r="C28" s="8" t="s">
        <v>15</v>
      </c>
      <c r="D28" s="9" t="s">
        <v>16</v>
      </c>
      <c r="E28" s="10" t="s">
        <v>17</v>
      </c>
      <c r="F28" s="11" t="s">
        <v>18</v>
      </c>
      <c r="H28" s="29"/>
      <c r="I28" s="42"/>
    </row>
    <row r="29" spans="1:12" s="1" customFormat="1" ht="27.75" customHeight="1" x14ac:dyDescent="0.2">
      <c r="A29" s="57" t="s">
        <v>66</v>
      </c>
      <c r="B29" s="12"/>
      <c r="C29" s="28"/>
      <c r="D29" s="58">
        <v>30.4072</v>
      </c>
      <c r="E29" s="13">
        <f>J16</f>
        <v>375224.848</v>
      </c>
      <c r="F29" s="53"/>
      <c r="H29" s="29"/>
      <c r="I29" s="13"/>
    </row>
    <row r="30" spans="1:12" s="1" customFormat="1" ht="27.75" customHeight="1" x14ac:dyDescent="0.2">
      <c r="A30" s="57"/>
      <c r="B30" s="12"/>
      <c r="C30" s="12"/>
      <c r="D30" s="58"/>
      <c r="E30" s="13"/>
      <c r="F30" s="53"/>
      <c r="H30" s="47" t="s">
        <v>10</v>
      </c>
      <c r="I30" s="48">
        <f>I29+I28</f>
        <v>0</v>
      </c>
      <c r="J30" s="31"/>
    </row>
    <row r="31" spans="1:12" s="1" customFormat="1" ht="27.75" customHeight="1" x14ac:dyDescent="0.2">
      <c r="A31" s="57"/>
      <c r="B31" s="12"/>
      <c r="C31" s="29"/>
      <c r="D31" s="58"/>
      <c r="E31" s="13"/>
      <c r="F31" s="53"/>
      <c r="J31" s="31"/>
    </row>
    <row r="32" spans="1:12" s="1" customFormat="1" ht="28.5" customHeight="1" x14ac:dyDescent="0.25">
      <c r="A32" s="49" t="s">
        <v>10</v>
      </c>
      <c r="B32" s="50"/>
      <c r="C32" s="50"/>
      <c r="D32" s="54">
        <f>SUM(D29:D31)</f>
        <v>30.4072</v>
      </c>
      <c r="E32" s="51">
        <f>SUM(E29:E31)</f>
        <v>375224.848</v>
      </c>
      <c r="F32" s="14"/>
      <c r="J32" s="31"/>
    </row>
    <row r="33" spans="1:14" s="1" customFormat="1" x14ac:dyDescent="0.2">
      <c r="C33" s="15"/>
    </row>
    <row r="34" spans="1:14" s="1" customFormat="1" x14ac:dyDescent="0.2">
      <c r="C34" s="15"/>
    </row>
    <row r="35" spans="1:14" s="1" customFormat="1" ht="15" x14ac:dyDescent="0.25">
      <c r="A35" s="16" t="s">
        <v>19</v>
      </c>
    </row>
    <row r="36" spans="1:14" s="1" customFormat="1" ht="15" x14ac:dyDescent="0.25">
      <c r="A36" s="17"/>
      <c r="J36" s="94" t="s">
        <v>94</v>
      </c>
      <c r="K36" s="95"/>
      <c r="L36" s="95"/>
      <c r="M36" s="95"/>
      <c r="N36" s="96"/>
    </row>
    <row r="37" spans="1:14" s="1" customFormat="1" x14ac:dyDescent="0.2">
      <c r="A37" s="18">
        <v>1</v>
      </c>
      <c r="B37" s="115" t="s">
        <v>39</v>
      </c>
      <c r="C37" s="115"/>
      <c r="D37" s="19">
        <f>8460*0.52*180</f>
        <v>791856</v>
      </c>
      <c r="E37" s="26"/>
      <c r="J37" s="97"/>
      <c r="K37" s="113" t="s">
        <v>114</v>
      </c>
      <c r="L37" s="98"/>
      <c r="M37" s="98"/>
      <c r="N37" s="99"/>
    </row>
    <row r="38" spans="1:14" s="1" customFormat="1" ht="24" customHeight="1" x14ac:dyDescent="0.2">
      <c r="A38" s="18">
        <v>2</v>
      </c>
      <c r="B38" s="114" t="s">
        <v>20</v>
      </c>
      <c r="C38" s="114"/>
      <c r="D38" s="19">
        <f>E32*1.35</f>
        <v>506553.54480000003</v>
      </c>
      <c r="E38" s="30"/>
      <c r="G38" s="3" t="s">
        <v>41</v>
      </c>
      <c r="H38" s="1">
        <v>13500</v>
      </c>
      <c r="I38" s="3"/>
      <c r="J38" s="104">
        <f>8460*0.15*180</f>
        <v>228420</v>
      </c>
      <c r="K38" s="100" t="s">
        <v>95</v>
      </c>
      <c r="L38" s="98"/>
      <c r="M38" s="98"/>
      <c r="N38" s="99"/>
    </row>
    <row r="39" spans="1:14" s="1" customFormat="1" ht="15" thickBot="1" x14ac:dyDescent="0.25">
      <c r="A39" s="18">
        <v>3</v>
      </c>
      <c r="B39" s="1" t="s">
        <v>21</v>
      </c>
      <c r="D39" s="20">
        <v>0</v>
      </c>
      <c r="G39" s="3" t="s">
        <v>42</v>
      </c>
      <c r="H39" s="40">
        <f>D43</f>
        <v>1585.0136399999999</v>
      </c>
      <c r="J39" s="97"/>
      <c r="K39" s="100" t="s">
        <v>96</v>
      </c>
      <c r="L39" s="98"/>
      <c r="M39" s="98"/>
      <c r="N39" s="99"/>
    </row>
    <row r="40" spans="1:14" s="1" customFormat="1" ht="28.15" customHeight="1" thickTop="1" thickBot="1" x14ac:dyDescent="0.3">
      <c r="A40" s="21">
        <v>4</v>
      </c>
      <c r="B40" s="116" t="s">
        <v>22</v>
      </c>
      <c r="C40" s="116"/>
      <c r="D40" s="22">
        <f>D37-D38</f>
        <v>285302.45519999997</v>
      </c>
      <c r="G40" s="3" t="s">
        <v>43</v>
      </c>
      <c r="H40" s="41">
        <f>H38-H39</f>
        <v>11914.986360000001</v>
      </c>
      <c r="J40" s="101" t="s">
        <v>101</v>
      </c>
      <c r="K40" s="102"/>
      <c r="L40" s="102"/>
      <c r="M40" s="102"/>
      <c r="N40" s="103"/>
    </row>
    <row r="41" spans="1:14" s="1" customFormat="1" ht="23.45" customHeight="1" thickTop="1" x14ac:dyDescent="0.2">
      <c r="A41" s="18">
        <v>5</v>
      </c>
      <c r="B41" s="114" t="s">
        <v>23</v>
      </c>
      <c r="C41" s="114"/>
      <c r="D41" s="23">
        <f>I30</f>
        <v>0</v>
      </c>
      <c r="G41" s="3" t="s">
        <v>30</v>
      </c>
      <c r="H41" s="1">
        <v>990</v>
      </c>
      <c r="K41" s="43"/>
    </row>
    <row r="42" spans="1:14" s="1" customFormat="1" ht="25.15" customHeight="1" thickBot="1" x14ac:dyDescent="0.3">
      <c r="A42" s="21">
        <v>6</v>
      </c>
      <c r="B42" s="116" t="s">
        <v>24</v>
      </c>
      <c r="C42" s="116"/>
      <c r="D42" s="24">
        <f>D40-D41</f>
        <v>285302.45519999997</v>
      </c>
      <c r="G42" s="3" t="s">
        <v>97</v>
      </c>
      <c r="H42" s="44">
        <f>H38-H41</f>
        <v>12510</v>
      </c>
      <c r="K42" s="3"/>
      <c r="L42" s="59"/>
    </row>
    <row r="43" spans="1:14" s="1" customFormat="1" ht="15" thickTop="1" x14ac:dyDescent="0.2">
      <c r="A43" s="18">
        <v>7</v>
      </c>
      <c r="B43" s="1" t="s">
        <v>25</v>
      </c>
      <c r="D43" s="23">
        <f>D42/180</f>
        <v>1585.0136399999999</v>
      </c>
      <c r="L43" s="59"/>
    </row>
    <row r="44" spans="1:14" s="1" customFormat="1" x14ac:dyDescent="0.2">
      <c r="A44" s="18">
        <v>8</v>
      </c>
      <c r="B44" s="1" t="s">
        <v>26</v>
      </c>
      <c r="D44" s="19">
        <v>8460</v>
      </c>
      <c r="G44" s="46"/>
      <c r="K44" s="3"/>
      <c r="L44" s="59"/>
      <c r="N44" s="3"/>
    </row>
    <row r="45" spans="1:14" s="1" customFormat="1" ht="27.75" customHeight="1" x14ac:dyDescent="0.2">
      <c r="A45" s="18">
        <v>9</v>
      </c>
      <c r="B45" s="114" t="s">
        <v>27</v>
      </c>
      <c r="C45" s="114"/>
      <c r="D45" s="25">
        <f>D43/D44</f>
        <v>0.18735385815602837</v>
      </c>
      <c r="K45" s="3"/>
      <c r="L45" s="60"/>
    </row>
    <row r="46" spans="1:14" x14ac:dyDescent="0.2">
      <c r="K46" s="3"/>
      <c r="L46" s="60"/>
      <c r="M46" s="1"/>
    </row>
    <row r="47" spans="1:14" x14ac:dyDescent="0.2">
      <c r="K47" s="39"/>
      <c r="L47" s="61"/>
    </row>
    <row r="48" spans="1:14" x14ac:dyDescent="0.2">
      <c r="L48" s="62"/>
    </row>
    <row r="49" spans="11:12" x14ac:dyDescent="0.2">
      <c r="K49" s="39"/>
      <c r="L49" s="61"/>
    </row>
    <row r="50" spans="11:12" x14ac:dyDescent="0.2">
      <c r="K50" s="39"/>
      <c r="L50" s="45"/>
    </row>
  </sheetData>
  <mergeCells count="6">
    <mergeCell ref="B45:C45"/>
    <mergeCell ref="B37:C37"/>
    <mergeCell ref="B38:C38"/>
    <mergeCell ref="B40:C40"/>
    <mergeCell ref="B41:C41"/>
    <mergeCell ref="B42:C4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EC24-69C0-41CF-A9DE-63BBA3F07C81}">
  <dimension ref="A1:N12"/>
  <sheetViews>
    <sheetView rightToLeft="1" zoomScaleNormal="100" workbookViewId="0">
      <selection activeCell="H4" sqref="H4"/>
    </sheetView>
  </sheetViews>
  <sheetFormatPr defaultColWidth="8.75" defaultRowHeight="15" x14ac:dyDescent="0.2"/>
  <cols>
    <col min="1" max="1" width="8.75" style="4"/>
    <col min="2" max="2" width="9.125" style="4" bestFit="1" customWidth="1"/>
    <col min="3" max="3" width="10.875" style="4" bestFit="1" customWidth="1"/>
    <col min="4" max="7" width="8.75" style="4"/>
    <col min="8" max="8" width="11.125" style="4" bestFit="1" customWidth="1"/>
    <col min="9" max="13" width="8.75" style="4"/>
    <col min="14" max="14" width="11.125" style="4" bestFit="1" customWidth="1"/>
    <col min="15" max="16384" width="8.75" style="4"/>
  </cols>
  <sheetData>
    <row r="1" spans="1:14" x14ac:dyDescent="0.2">
      <c r="A1" s="5" t="s">
        <v>61</v>
      </c>
    </row>
    <row r="2" spans="1:14" ht="15.75" x14ac:dyDescent="0.25">
      <c r="J2" s="5" t="s">
        <v>45</v>
      </c>
    </row>
    <row r="3" spans="1:14" x14ac:dyDescent="0.2">
      <c r="A3" s="35" t="s">
        <v>37</v>
      </c>
      <c r="B3" s="36">
        <f>'נתוני מסלקה'!C16</f>
        <v>21322</v>
      </c>
      <c r="C3" s="6"/>
      <c r="F3" s="4" t="s">
        <v>29</v>
      </c>
      <c r="H3" s="37" t="str">
        <f>M4</f>
        <v>1.4.2021</v>
      </c>
      <c r="J3" s="4" t="s">
        <v>46</v>
      </c>
      <c r="M3" s="4" t="s">
        <v>113</v>
      </c>
      <c r="N3" s="6"/>
    </row>
    <row r="4" spans="1:14" x14ac:dyDescent="0.2">
      <c r="A4" s="4" t="s">
        <v>62</v>
      </c>
      <c r="J4" s="4" t="s">
        <v>44</v>
      </c>
      <c r="M4" s="112" t="s">
        <v>112</v>
      </c>
      <c r="N4" s="63"/>
    </row>
    <row r="8" spans="1:14" x14ac:dyDescent="0.2">
      <c r="A8" s="4" t="s">
        <v>63</v>
      </c>
    </row>
    <row r="9" spans="1:14" x14ac:dyDescent="0.2">
      <c r="A9" s="4" t="s">
        <v>64</v>
      </c>
    </row>
    <row r="11" spans="1:14" x14ac:dyDescent="0.2">
      <c r="A11" s="4" t="s">
        <v>65</v>
      </c>
    </row>
    <row r="12" spans="1:14" x14ac:dyDescent="0.2">
      <c r="E12" s="27"/>
    </row>
  </sheetData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FA3C-D5FB-406D-9A0E-0C8038FD8690}">
  <dimension ref="A1"/>
  <sheetViews>
    <sheetView rightToLeft="1" topLeftCell="A7" workbookViewId="0">
      <selection activeCell="S10" sqref="S10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6869-61CC-493F-8B32-F404BECE17EC}">
  <dimension ref="A1"/>
  <sheetViews>
    <sheetView rightToLeft="1" topLeftCell="A73" zoomScale="60" zoomScaleNormal="60" zoomScaleSheetLayoutView="40" workbookViewId="0">
      <selection activeCell="AN2" sqref="AN2"/>
    </sheetView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1E014-E158-4CA1-88C7-8F83129364C6}">
  <dimension ref="A1"/>
  <sheetViews>
    <sheetView rightToLeft="1" workbookViewId="0">
      <selection activeCell="A25" sqref="A25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B3D5-B158-403D-A482-86A671788764}">
  <dimension ref="L4:R32"/>
  <sheetViews>
    <sheetView rightToLeft="1" topLeftCell="A4" workbookViewId="0">
      <selection activeCell="O37" sqref="O37"/>
    </sheetView>
  </sheetViews>
  <sheetFormatPr defaultRowHeight="14.25" x14ac:dyDescent="0.2"/>
  <cols>
    <col min="15" max="17" width="10.875" bestFit="1" customWidth="1"/>
    <col min="18" max="18" width="9.875" bestFit="1" customWidth="1"/>
  </cols>
  <sheetData>
    <row r="4" spans="12:18" ht="15" thickBot="1" x14ac:dyDescent="0.25"/>
    <row r="5" spans="12:18" x14ac:dyDescent="0.2">
      <c r="L5" s="82"/>
      <c r="M5" s="83"/>
      <c r="N5" s="83"/>
      <c r="O5" s="83"/>
      <c r="P5" s="83"/>
      <c r="Q5" s="83"/>
      <c r="R5" s="84"/>
    </row>
    <row r="6" spans="12:18" x14ac:dyDescent="0.2">
      <c r="L6" s="85"/>
      <c r="M6" s="80" t="s">
        <v>85</v>
      </c>
      <c r="N6" s="62"/>
      <c r="O6" s="62"/>
      <c r="P6" s="62"/>
      <c r="Q6" s="62"/>
      <c r="R6" s="86"/>
    </row>
    <row r="7" spans="12:18" x14ac:dyDescent="0.2">
      <c r="L7" s="85">
        <v>1</v>
      </c>
      <c r="M7" s="80" t="s">
        <v>86</v>
      </c>
      <c r="N7" s="62"/>
      <c r="O7" s="62"/>
      <c r="P7" s="62">
        <f>'נתוני מסלקה'!J17</f>
        <v>119127.152</v>
      </c>
      <c r="Q7" s="80" t="s">
        <v>84</v>
      </c>
      <c r="R7" s="86"/>
    </row>
    <row r="8" spans="12:18" x14ac:dyDescent="0.2">
      <c r="L8" s="85"/>
      <c r="M8" s="62"/>
      <c r="N8" s="62"/>
      <c r="O8" s="62"/>
      <c r="P8" s="62">
        <v>102105</v>
      </c>
      <c r="Q8" s="80" t="s">
        <v>88</v>
      </c>
      <c r="R8" s="86"/>
    </row>
    <row r="9" spans="12:18" x14ac:dyDescent="0.2">
      <c r="L9" s="85"/>
      <c r="M9" s="62"/>
      <c r="N9" s="62"/>
      <c r="O9" s="62"/>
      <c r="P9" s="62">
        <f>13500*9</f>
        <v>121500</v>
      </c>
      <c r="Q9" s="80" t="s">
        <v>87</v>
      </c>
      <c r="R9" s="86"/>
    </row>
    <row r="10" spans="12:18" x14ac:dyDescent="0.2">
      <c r="L10" s="85"/>
      <c r="M10" s="62"/>
      <c r="N10" s="62"/>
      <c r="O10" s="62"/>
      <c r="P10" s="87">
        <f>SUM(P7:P9)</f>
        <v>342732.152</v>
      </c>
      <c r="Q10" s="62"/>
      <c r="R10" s="86"/>
    </row>
    <row r="11" spans="12:18" x14ac:dyDescent="0.2">
      <c r="L11" s="85"/>
      <c r="M11" s="62"/>
      <c r="N11" s="62"/>
      <c r="O11" s="62"/>
      <c r="P11" s="62"/>
      <c r="Q11" s="62"/>
      <c r="R11" s="86"/>
    </row>
    <row r="12" spans="12:18" x14ac:dyDescent="0.2">
      <c r="L12" s="85"/>
      <c r="M12" s="80" t="s">
        <v>89</v>
      </c>
      <c r="N12" s="62"/>
      <c r="O12" s="62"/>
      <c r="P12" s="62"/>
      <c r="Q12" s="61">
        <f>P10*195/365</f>
        <v>183103.47846575343</v>
      </c>
      <c r="R12" s="86"/>
    </row>
    <row r="13" spans="12:18" x14ac:dyDescent="0.2">
      <c r="L13" s="85"/>
      <c r="M13" s="62"/>
      <c r="N13" s="62"/>
      <c r="O13" s="62"/>
      <c r="P13" s="62"/>
      <c r="Q13" s="62"/>
      <c r="R13" s="86"/>
    </row>
    <row r="14" spans="12:18" x14ac:dyDescent="0.2">
      <c r="L14" s="85"/>
      <c r="M14" s="62"/>
      <c r="N14" s="62"/>
      <c r="O14" s="62"/>
      <c r="P14" s="62"/>
      <c r="Q14" s="62"/>
      <c r="R14" s="86"/>
    </row>
    <row r="15" spans="12:18" x14ac:dyDescent="0.2">
      <c r="L15" s="85">
        <v>2</v>
      </c>
      <c r="M15" s="80" t="s">
        <v>90</v>
      </c>
      <c r="N15" s="62"/>
      <c r="O15" s="61">
        <f>Q12</f>
        <v>183103.47846575343</v>
      </c>
      <c r="P15" s="62"/>
      <c r="Q15" s="88">
        <v>73560</v>
      </c>
      <c r="R15" s="89" t="s">
        <v>91</v>
      </c>
    </row>
    <row r="16" spans="12:18" x14ac:dyDescent="0.2">
      <c r="L16" s="85"/>
      <c r="M16" s="62"/>
      <c r="N16" s="62"/>
      <c r="O16" s="62"/>
      <c r="P16" s="80" t="s">
        <v>38</v>
      </c>
      <c r="Q16" s="62"/>
      <c r="R16" s="86"/>
    </row>
    <row r="17" spans="12:18" x14ac:dyDescent="0.2">
      <c r="L17" s="85"/>
      <c r="M17" s="62"/>
      <c r="N17" s="62"/>
      <c r="O17" s="62"/>
      <c r="P17" s="62"/>
      <c r="Q17" s="62"/>
      <c r="R17" s="86"/>
    </row>
    <row r="18" spans="12:18" x14ac:dyDescent="0.2">
      <c r="L18" s="85"/>
      <c r="M18" s="62"/>
      <c r="N18" s="62"/>
      <c r="O18" s="62"/>
      <c r="P18" s="62"/>
      <c r="Q18" s="62"/>
      <c r="R18" s="86"/>
    </row>
    <row r="19" spans="12:18" x14ac:dyDescent="0.2">
      <c r="L19" s="85"/>
      <c r="M19" s="62"/>
      <c r="N19" s="62"/>
      <c r="O19" s="62"/>
      <c r="P19" s="62"/>
      <c r="Q19" s="62"/>
      <c r="R19" s="86"/>
    </row>
    <row r="20" spans="12:18" x14ac:dyDescent="0.2">
      <c r="L20" s="85"/>
      <c r="M20" s="80" t="s">
        <v>92</v>
      </c>
      <c r="N20" s="62"/>
      <c r="O20" s="62"/>
      <c r="P20" s="90">
        <f>P10-Q15</f>
        <v>269172.152</v>
      </c>
      <c r="Q20" s="80" t="s">
        <v>93</v>
      </c>
      <c r="R20" s="86"/>
    </row>
    <row r="21" spans="12:18" x14ac:dyDescent="0.2">
      <c r="L21" s="85"/>
      <c r="M21" s="62"/>
      <c r="N21" s="62"/>
      <c r="O21" s="62"/>
      <c r="P21" s="62"/>
      <c r="Q21" s="62"/>
      <c r="R21" s="86"/>
    </row>
    <row r="22" spans="12:18" x14ac:dyDescent="0.2">
      <c r="L22" s="85"/>
      <c r="M22" s="62"/>
      <c r="N22" s="62"/>
      <c r="O22" s="62"/>
      <c r="P22" s="62"/>
      <c r="Q22" s="62"/>
      <c r="R22" s="86"/>
    </row>
    <row r="23" spans="12:18" ht="15" thickBot="1" x14ac:dyDescent="0.25">
      <c r="L23" s="91"/>
      <c r="M23" s="92"/>
      <c r="N23" s="92"/>
      <c r="O23" s="92"/>
      <c r="P23" s="92"/>
      <c r="Q23" s="92"/>
      <c r="R23" s="93"/>
    </row>
    <row r="25" spans="12:18" x14ac:dyDescent="0.2">
      <c r="O25" s="39" t="s">
        <v>10</v>
      </c>
      <c r="P25" s="81">
        <f>O28+Q28</f>
        <v>254907.152</v>
      </c>
      <c r="Q25" s="39" t="s">
        <v>107</v>
      </c>
    </row>
    <row r="27" spans="12:18" x14ac:dyDescent="0.2">
      <c r="O27" s="39" t="s">
        <v>105</v>
      </c>
      <c r="Q27" s="39" t="s">
        <v>106</v>
      </c>
    </row>
    <row r="28" spans="12:18" x14ac:dyDescent="0.2">
      <c r="O28" s="52">
        <f>P8+11915*9-Q15</f>
        <v>135780</v>
      </c>
      <c r="Q28" s="52">
        <f>P7</f>
        <v>119127.152</v>
      </c>
    </row>
    <row r="30" spans="12:18" x14ac:dyDescent="0.2">
      <c r="O30" s="39" t="s">
        <v>108</v>
      </c>
      <c r="R30" s="52">
        <v>43708</v>
      </c>
    </row>
    <row r="31" spans="12:18" x14ac:dyDescent="0.2">
      <c r="O31" s="39" t="s">
        <v>109</v>
      </c>
      <c r="R31" s="52">
        <v>10441</v>
      </c>
    </row>
    <row r="32" spans="12:18" x14ac:dyDescent="0.2">
      <c r="O32" s="39" t="s">
        <v>110</v>
      </c>
      <c r="R32" s="52">
        <f>R30-R31</f>
        <v>33267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4F1D-3260-49DE-928A-9A74A6F75C15}">
  <dimension ref="A2:K41"/>
  <sheetViews>
    <sheetView rightToLeft="1" topLeftCell="A25" workbookViewId="0">
      <selection activeCell="I51" sqref="I51"/>
    </sheetView>
  </sheetViews>
  <sheetFormatPr defaultRowHeight="14.25" x14ac:dyDescent="0.2"/>
  <cols>
    <col min="2" max="2" width="12.25" customWidth="1"/>
    <col min="3" max="3" width="12.75" customWidth="1"/>
    <col min="4" max="4" width="10.875" bestFit="1" customWidth="1"/>
    <col min="5" max="5" width="11.75" customWidth="1"/>
    <col min="6" max="6" width="10.875" customWidth="1"/>
    <col min="7" max="8" width="11.625" customWidth="1"/>
    <col min="9" max="9" width="13.5" bestFit="1" customWidth="1"/>
    <col min="10" max="10" width="10.75" customWidth="1"/>
  </cols>
  <sheetData>
    <row r="2" spans="1:11" s="1" customFormat="1" ht="15" x14ac:dyDescent="0.25">
      <c r="A2" s="16" t="s">
        <v>79</v>
      </c>
    </row>
    <row r="3" spans="1:11" s="1" customFormat="1" x14ac:dyDescent="0.2"/>
    <row r="4" spans="1:11" s="1" customFormat="1" ht="15" thickBot="1" x14ac:dyDescent="0.25">
      <c r="A4" s="26" t="s">
        <v>78</v>
      </c>
      <c r="B4" s="67"/>
      <c r="C4" s="67"/>
      <c r="D4" s="67"/>
      <c r="E4" s="67"/>
      <c r="F4" s="67"/>
      <c r="G4" s="67"/>
      <c r="H4" s="67"/>
      <c r="I4" s="67"/>
    </row>
    <row r="5" spans="1:11" s="1" customFormat="1" ht="15" thickBot="1" x14ac:dyDescent="0.25">
      <c r="A5" s="66" t="s">
        <v>67</v>
      </c>
      <c r="B5" s="67"/>
      <c r="C5" s="68">
        <f>'נתוני מסלקה'!J17</f>
        <v>119127.152</v>
      </c>
      <c r="D5" s="23"/>
      <c r="E5" s="23"/>
      <c r="F5" s="67"/>
      <c r="G5" s="67"/>
      <c r="H5" s="67"/>
      <c r="I5" s="67"/>
    </row>
    <row r="6" spans="1:11" s="1" customFormat="1" ht="15" thickBot="1" x14ac:dyDescent="0.25">
      <c r="A6" s="66" t="s">
        <v>68</v>
      </c>
      <c r="B6" s="67"/>
      <c r="C6" s="69"/>
      <c r="D6" s="23"/>
      <c r="E6" s="23"/>
      <c r="F6" s="67"/>
      <c r="G6" s="67"/>
      <c r="H6" s="67"/>
      <c r="I6" s="67"/>
    </row>
    <row r="7" spans="1:11" s="1" customFormat="1" ht="15" thickBot="1" x14ac:dyDescent="0.25">
      <c r="A7" s="66" t="s">
        <v>69</v>
      </c>
      <c r="B7" s="67"/>
      <c r="C7" s="70">
        <v>6</v>
      </c>
      <c r="D7" s="67"/>
      <c r="E7" s="67"/>
      <c r="F7" s="67"/>
      <c r="G7" s="67"/>
      <c r="H7" s="67"/>
      <c r="I7" s="67"/>
    </row>
    <row r="8" spans="1:11" s="1" customFormat="1" x14ac:dyDescent="0.2">
      <c r="A8" s="66"/>
      <c r="B8" s="67"/>
      <c r="C8" s="67"/>
      <c r="D8" s="67"/>
      <c r="E8" s="67"/>
      <c r="F8" s="67"/>
      <c r="G8" s="67"/>
      <c r="H8" s="67"/>
      <c r="I8" s="67"/>
    </row>
    <row r="9" spans="1:11" s="1" customFormat="1" ht="15" x14ac:dyDescent="0.25">
      <c r="A9" s="66"/>
      <c r="B9" s="67"/>
      <c r="C9" s="67"/>
      <c r="D9" s="117" t="s">
        <v>70</v>
      </c>
      <c r="E9" s="117"/>
      <c r="F9" s="117"/>
      <c r="G9" s="67"/>
      <c r="H9" s="67"/>
      <c r="I9" s="67"/>
    </row>
    <row r="10" spans="1:11" s="79" customFormat="1" ht="45" x14ac:dyDescent="0.25">
      <c r="A10" s="77" t="s">
        <v>71</v>
      </c>
      <c r="B10" s="77" t="s">
        <v>72</v>
      </c>
      <c r="C10" s="9" t="s">
        <v>73</v>
      </c>
      <c r="D10" s="9" t="s">
        <v>74</v>
      </c>
      <c r="E10" s="9" t="s">
        <v>77</v>
      </c>
      <c r="F10" s="78" t="s">
        <v>99</v>
      </c>
      <c r="G10" s="9" t="s">
        <v>75</v>
      </c>
      <c r="H10" s="9" t="s">
        <v>80</v>
      </c>
      <c r="I10" s="9" t="s">
        <v>98</v>
      </c>
      <c r="J10" s="9" t="s">
        <v>81</v>
      </c>
    </row>
    <row r="11" spans="1:11" s="1" customFormat="1" ht="15" x14ac:dyDescent="0.25">
      <c r="A11" s="71">
        <v>1</v>
      </c>
      <c r="B11" s="105">
        <v>2021</v>
      </c>
      <c r="C11" s="106">
        <f>C5/C7</f>
        <v>19854.525333333335</v>
      </c>
      <c r="D11" s="107">
        <f>'אישור נכות זמנית'!P8</f>
        <v>102105</v>
      </c>
      <c r="E11" s="108">
        <f>'נתוני מסלקה'!H40*9</f>
        <v>107234.87724</v>
      </c>
      <c r="F11" s="109">
        <f>-D23</f>
        <v>-73560</v>
      </c>
      <c r="G11" s="108">
        <f>C11+D11+E11+F11</f>
        <v>155634.40257333335</v>
      </c>
      <c r="H11" s="108"/>
      <c r="I11" s="107"/>
      <c r="J11" s="108">
        <f>C11*0.2</f>
        <v>3970.9050666666672</v>
      </c>
    </row>
    <row r="12" spans="1:11" s="1" customFormat="1" ht="15" x14ac:dyDescent="0.25">
      <c r="A12" s="71">
        <v>2</v>
      </c>
      <c r="B12" s="105">
        <v>2022</v>
      </c>
      <c r="C12" s="106">
        <f>C11</f>
        <v>19854.525333333335</v>
      </c>
      <c r="D12" s="107">
        <v>0</v>
      </c>
      <c r="E12" s="106">
        <f>'נתוני מסלקה'!H40*12</f>
        <v>142979.83632</v>
      </c>
      <c r="F12" s="109">
        <v>0</v>
      </c>
      <c r="G12" s="108">
        <f>C12+D12+E12</f>
        <v>162834.36165333333</v>
      </c>
      <c r="H12" s="107"/>
      <c r="I12" s="107"/>
      <c r="J12" s="106">
        <f>C12*0.2</f>
        <v>3970.9050666666672</v>
      </c>
    </row>
    <row r="13" spans="1:11" s="1" customFormat="1" ht="15" x14ac:dyDescent="0.25">
      <c r="A13" s="71">
        <v>3</v>
      </c>
      <c r="B13" s="105">
        <v>2023</v>
      </c>
      <c r="C13" s="108">
        <f>C11</f>
        <v>19854.525333333335</v>
      </c>
      <c r="D13" s="107">
        <v>0</v>
      </c>
      <c r="E13" s="108">
        <f>E12</f>
        <v>142979.83632</v>
      </c>
      <c r="F13" s="109">
        <v>0</v>
      </c>
      <c r="G13" s="108">
        <f>G12</f>
        <v>162834.36165333333</v>
      </c>
      <c r="H13" s="107"/>
      <c r="I13" s="107"/>
      <c r="J13" s="108">
        <f>J12</f>
        <v>3970.9050666666672</v>
      </c>
    </row>
    <row r="14" spans="1:11" s="1" customFormat="1" ht="15" x14ac:dyDescent="0.25">
      <c r="A14" s="71">
        <v>4</v>
      </c>
      <c r="B14" s="105">
        <v>2024</v>
      </c>
      <c r="C14" s="108">
        <f>C11</f>
        <v>19854.525333333335</v>
      </c>
      <c r="D14" s="107">
        <v>0</v>
      </c>
      <c r="E14" s="108">
        <f>E12</f>
        <v>142979.83632</v>
      </c>
      <c r="F14" s="109">
        <v>0</v>
      </c>
      <c r="G14" s="108">
        <f>G12</f>
        <v>162834.36165333333</v>
      </c>
      <c r="H14" s="107"/>
      <c r="I14" s="107"/>
      <c r="J14" s="108">
        <f>J12</f>
        <v>3970.9050666666672</v>
      </c>
    </row>
    <row r="15" spans="1:11" s="1" customFormat="1" ht="15" x14ac:dyDescent="0.25">
      <c r="A15" s="110">
        <v>5</v>
      </c>
      <c r="B15" s="72">
        <v>2025</v>
      </c>
      <c r="C15" s="73">
        <f>C11</f>
        <v>19854.525333333335</v>
      </c>
      <c r="D15" s="107">
        <v>0</v>
      </c>
      <c r="E15" s="73">
        <f>E12</f>
        <v>142979.83632</v>
      </c>
      <c r="F15" s="109">
        <v>0</v>
      </c>
      <c r="G15" s="73">
        <f>G12</f>
        <v>162834.36165333333</v>
      </c>
      <c r="H15" s="73"/>
      <c r="I15" s="73"/>
      <c r="J15" s="73">
        <f>J12</f>
        <v>3970.9050666666672</v>
      </c>
    </row>
    <row r="16" spans="1:11" s="1" customFormat="1" ht="15" x14ac:dyDescent="0.25">
      <c r="A16" s="110">
        <v>6</v>
      </c>
      <c r="B16" s="72">
        <v>2026</v>
      </c>
      <c r="C16" s="73">
        <f>C11</f>
        <v>19854.525333333335</v>
      </c>
      <c r="D16" s="107">
        <v>0</v>
      </c>
      <c r="E16" s="73">
        <f>E12</f>
        <v>142979.83632</v>
      </c>
      <c r="F16" s="109">
        <v>0</v>
      </c>
      <c r="G16" s="73">
        <f>G12</f>
        <v>162834.36165333333</v>
      </c>
      <c r="H16" s="73"/>
      <c r="I16" s="73"/>
      <c r="J16" s="73">
        <f>J12</f>
        <v>3970.9050666666672</v>
      </c>
      <c r="K16" s="1" t="s">
        <v>76</v>
      </c>
    </row>
    <row r="17" spans="1:11" s="1" customFormat="1" x14ac:dyDescent="0.2">
      <c r="A17" s="1" t="s">
        <v>10</v>
      </c>
      <c r="C17" s="74">
        <f>SUM(C11:C16)</f>
        <v>119127.15200000002</v>
      </c>
      <c r="J17" s="75">
        <f>SUM(J11:J16)</f>
        <v>23825.430400000001</v>
      </c>
      <c r="K17" s="74">
        <f>C17-J17</f>
        <v>95301.721600000019</v>
      </c>
    </row>
    <row r="18" spans="1:11" s="1" customFormat="1" x14ac:dyDescent="0.2"/>
    <row r="19" spans="1:11" s="1" customFormat="1" x14ac:dyDescent="0.2">
      <c r="J19" s="76"/>
    </row>
    <row r="20" spans="1:11" s="1" customFormat="1" x14ac:dyDescent="0.2">
      <c r="A20" s="95"/>
      <c r="B20" s="95"/>
      <c r="C20" s="95"/>
      <c r="D20" s="95"/>
      <c r="E20" s="95"/>
      <c r="F20" s="95"/>
      <c r="G20" s="95"/>
      <c r="H20" s="95"/>
      <c r="I20" s="111">
        <f>C17/30000</f>
        <v>3.9709050666666674</v>
      </c>
      <c r="J20" s="95"/>
      <c r="K20" s="95"/>
    </row>
    <row r="21" spans="1:11" x14ac:dyDescent="0.2">
      <c r="I21" s="39" t="s">
        <v>100</v>
      </c>
    </row>
    <row r="22" spans="1:11" x14ac:dyDescent="0.2">
      <c r="B22" s="81">
        <f>G11</f>
        <v>155634.40257333335</v>
      </c>
    </row>
    <row r="23" spans="1:11" x14ac:dyDescent="0.2">
      <c r="B23" s="45">
        <f>B22*195/365</f>
        <v>83147.146580273984</v>
      </c>
      <c r="C23" s="39" t="s">
        <v>38</v>
      </c>
      <c r="D23">
        <f>'אישור נכות זמנית'!Q15</f>
        <v>73560</v>
      </c>
    </row>
    <row r="26" spans="1:11" ht="15" x14ac:dyDescent="0.25">
      <c r="A26" s="66"/>
      <c r="B26" s="67"/>
      <c r="C26" s="67"/>
      <c r="D26" s="117" t="s">
        <v>70</v>
      </c>
      <c r="E26" s="117"/>
      <c r="F26" s="117"/>
      <c r="G26" s="67"/>
      <c r="H26" s="67"/>
      <c r="I26" s="67"/>
      <c r="J26" s="1"/>
      <c r="K26" s="1"/>
    </row>
    <row r="27" spans="1:11" ht="45" x14ac:dyDescent="0.25">
      <c r="A27" s="77" t="s">
        <v>71</v>
      </c>
      <c r="B27" s="77" t="s">
        <v>72</v>
      </c>
      <c r="C27" s="9" t="s">
        <v>73</v>
      </c>
      <c r="D27" s="9" t="s">
        <v>74</v>
      </c>
      <c r="E27" s="9" t="s">
        <v>77</v>
      </c>
      <c r="F27" s="78" t="s">
        <v>99</v>
      </c>
      <c r="G27" s="9" t="s">
        <v>75</v>
      </c>
      <c r="H27" s="9" t="s">
        <v>80</v>
      </c>
      <c r="I27" s="9" t="s">
        <v>98</v>
      </c>
      <c r="J27" s="9" t="s">
        <v>81</v>
      </c>
      <c r="K27" s="79"/>
    </row>
    <row r="28" spans="1:11" ht="15" x14ac:dyDescent="0.25">
      <c r="A28" s="71">
        <v>1</v>
      </c>
      <c r="B28" s="105">
        <v>2021</v>
      </c>
      <c r="C28" s="106">
        <f>C17/4</f>
        <v>29781.788000000004</v>
      </c>
      <c r="D28" s="106">
        <f>D11</f>
        <v>102105</v>
      </c>
      <c r="E28" s="108">
        <f>E11</f>
        <v>107234.87724</v>
      </c>
      <c r="F28" s="109">
        <f>F11</f>
        <v>-73560</v>
      </c>
      <c r="G28" s="108">
        <f>C28+D28+E28+F28</f>
        <v>165561.66524</v>
      </c>
      <c r="H28" s="108"/>
      <c r="I28" s="107"/>
      <c r="J28" s="108">
        <f>C28*0.2</f>
        <v>5956.3576000000012</v>
      </c>
      <c r="K28" s="1"/>
    </row>
    <row r="29" spans="1:11" ht="15" x14ac:dyDescent="0.25">
      <c r="A29" s="71">
        <v>2</v>
      </c>
      <c r="B29" s="105">
        <v>2022</v>
      </c>
      <c r="C29" s="106">
        <f>C28</f>
        <v>29781.788000000004</v>
      </c>
      <c r="D29" s="107">
        <v>0</v>
      </c>
      <c r="E29" s="106">
        <f>E12</f>
        <v>142979.83632</v>
      </c>
      <c r="F29" s="109">
        <v>0</v>
      </c>
      <c r="G29" s="108">
        <f>C29+D29+E29</f>
        <v>172761.62432</v>
      </c>
      <c r="H29" s="107"/>
      <c r="I29" s="107"/>
      <c r="J29" s="106">
        <f>C29*0.2</f>
        <v>5956.3576000000012</v>
      </c>
      <c r="K29" s="1"/>
    </row>
    <row r="30" spans="1:11" ht="15" x14ac:dyDescent="0.25">
      <c r="A30" s="71">
        <v>3</v>
      </c>
      <c r="B30" s="105">
        <v>2023</v>
      </c>
      <c r="C30" s="106">
        <f>C28</f>
        <v>29781.788000000004</v>
      </c>
      <c r="D30" s="107">
        <v>0</v>
      </c>
      <c r="E30" s="108">
        <f>E29</f>
        <v>142979.83632</v>
      </c>
      <c r="F30" s="109">
        <v>0</v>
      </c>
      <c r="G30" s="108">
        <f t="shared" ref="G30:G31" si="0">C30+D30+E30</f>
        <v>172761.62432</v>
      </c>
      <c r="H30" s="107"/>
      <c r="I30" s="107"/>
      <c r="J30" s="108">
        <f>J29</f>
        <v>5956.3576000000012</v>
      </c>
      <c r="K30" s="1"/>
    </row>
    <row r="31" spans="1:11" ht="15" x14ac:dyDescent="0.25">
      <c r="A31" s="71">
        <v>4</v>
      </c>
      <c r="B31" s="105">
        <v>2024</v>
      </c>
      <c r="C31" s="106">
        <f>C28</f>
        <v>29781.788000000004</v>
      </c>
      <c r="D31" s="107">
        <v>0</v>
      </c>
      <c r="E31" s="108">
        <f>E29</f>
        <v>142979.83632</v>
      </c>
      <c r="F31" s="109">
        <v>0</v>
      </c>
      <c r="G31" s="108">
        <f t="shared" si="0"/>
        <v>172761.62432</v>
      </c>
      <c r="H31" s="107"/>
      <c r="I31" s="107"/>
      <c r="J31" s="108">
        <f>J29</f>
        <v>5956.3576000000012</v>
      </c>
      <c r="K31" s="1"/>
    </row>
    <row r="32" spans="1:11" x14ac:dyDescent="0.2">
      <c r="A32" s="1" t="s">
        <v>10</v>
      </c>
      <c r="B32" s="1"/>
      <c r="C32" s="74">
        <f>SUM(C28:C31)</f>
        <v>119127.15200000002</v>
      </c>
      <c r="D32" s="1"/>
      <c r="E32" s="1"/>
      <c r="F32" s="1"/>
      <c r="G32" s="1"/>
      <c r="H32" s="1"/>
      <c r="I32" s="1"/>
      <c r="J32" s="75">
        <f>SUM(J28:J31)</f>
        <v>23825.430400000005</v>
      </c>
      <c r="K32" s="74">
        <f>C32-J32</f>
        <v>95301.721600000019</v>
      </c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 thickBot="1" x14ac:dyDescent="0.25"/>
    <row r="35" spans="1:11" x14ac:dyDescent="0.2">
      <c r="A35" s="118"/>
      <c r="B35" s="119"/>
      <c r="C35" s="119"/>
      <c r="D35" s="119"/>
      <c r="E35" s="120"/>
    </row>
    <row r="36" spans="1:11" ht="15" x14ac:dyDescent="0.25">
      <c r="A36" s="121"/>
      <c r="B36" s="122" t="s">
        <v>102</v>
      </c>
      <c r="C36" s="123"/>
      <c r="D36" s="123"/>
      <c r="E36" s="124"/>
    </row>
    <row r="37" spans="1:11" x14ac:dyDescent="0.2">
      <c r="A37" s="121"/>
      <c r="B37" s="125" t="s">
        <v>103</v>
      </c>
      <c r="C37" s="123"/>
      <c r="D37" s="126">
        <f>'אישור נכות זמנית'!R32</f>
        <v>33267</v>
      </c>
      <c r="E37" s="124"/>
    </row>
    <row r="38" spans="1:11" x14ac:dyDescent="0.2">
      <c r="A38" s="121"/>
      <c r="B38" s="125" t="s">
        <v>104</v>
      </c>
      <c r="C38" s="123"/>
      <c r="D38" s="126">
        <f>J32</f>
        <v>23825.430400000005</v>
      </c>
      <c r="E38" s="124"/>
    </row>
    <row r="39" spans="1:11" x14ac:dyDescent="0.2">
      <c r="A39" s="121"/>
      <c r="B39" s="123"/>
      <c r="C39" s="123"/>
      <c r="D39" s="126"/>
      <c r="E39" s="124"/>
    </row>
    <row r="40" spans="1:11" ht="15" thickBot="1" x14ac:dyDescent="0.25">
      <c r="A40" s="121"/>
      <c r="B40" s="125" t="s">
        <v>111</v>
      </c>
      <c r="C40" s="123"/>
      <c r="D40" s="127">
        <f>D37-D38</f>
        <v>9441.5695999999953</v>
      </c>
      <c r="E40" s="124"/>
    </row>
    <row r="41" spans="1:11" ht="15.75" thickTop="1" thickBot="1" x14ac:dyDescent="0.25">
      <c r="A41" s="128"/>
      <c r="B41" s="129"/>
      <c r="C41" s="129"/>
      <c r="D41" s="130"/>
      <c r="E41" s="131"/>
    </row>
  </sheetData>
  <mergeCells count="2">
    <mergeCell ref="D9:F9"/>
    <mergeCell ref="D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נתוני מסלקה</vt:lpstr>
      <vt:lpstr>נתונים נוספים</vt:lpstr>
      <vt:lpstr>דרכי פעולה</vt:lpstr>
      <vt:lpstr>חשמל בעמ -מסמכים</vt:lpstr>
      <vt:lpstr>מדרגות מס 2021</vt:lpstr>
      <vt:lpstr>אישור נכות זמנית</vt:lpstr>
      <vt:lpstr>פריסה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2021-02-23T07:48:17Z</cp:lastPrinted>
  <dcterms:created xsi:type="dcterms:W3CDTF">2020-08-25T12:31:29Z</dcterms:created>
  <dcterms:modified xsi:type="dcterms:W3CDTF">2021-04-07T11:15:58Z</dcterms:modified>
</cp:coreProperties>
</file>